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0" yWindow="195" windowWidth="24525" windowHeight="12405"/>
  </bookViews>
  <sheets>
    <sheet name="PhytohormoneGenes" sheetId="2" r:id="rId1"/>
  </sheets>
  <definedNames>
    <definedName name="list" localSheetId="0">#REF!</definedName>
    <definedName name="list">#REF!</definedName>
    <definedName name="list1">#REF!</definedName>
    <definedName name="NewList">#REF!</definedName>
    <definedName name="Tair">#REF!</definedName>
  </definedNames>
  <calcPr calcId="145621"/>
</workbook>
</file>

<file path=xl/calcChain.xml><?xml version="1.0" encoding="utf-8"?>
<calcChain xmlns="http://schemas.openxmlformats.org/spreadsheetml/2006/main">
  <c r="BR3" i="2" l="1"/>
  <c r="BM547" i="2" l="1"/>
  <c r="BM549" i="2" s="1"/>
  <c r="BL547" i="2"/>
  <c r="BL549" i="2" s="1"/>
  <c r="BK547" i="2"/>
  <c r="BK549" i="2" s="1"/>
  <c r="BJ547" i="2"/>
  <c r="BJ549" i="2" s="1"/>
  <c r="BI547" i="2"/>
  <c r="BI549" i="2" s="1"/>
  <c r="BH547" i="2"/>
  <c r="BH549" i="2" s="1"/>
  <c r="BG547" i="2"/>
  <c r="BG549" i="2" s="1"/>
  <c r="BQ3" i="2"/>
  <c r="BP3" i="2"/>
  <c r="BO3" i="2"/>
  <c r="J25" i="2" l="1"/>
  <c r="J283" i="2"/>
  <c r="J245" i="2"/>
  <c r="J247" i="2"/>
  <c r="J246" i="2"/>
  <c r="J51" i="2"/>
  <c r="J50" i="2"/>
  <c r="J155" i="2"/>
  <c r="J191" i="2"/>
  <c r="J198" i="2"/>
  <c r="J192" i="2"/>
  <c r="J199" i="2"/>
  <c r="J364" i="2"/>
  <c r="J363" i="2"/>
  <c r="J361" i="2"/>
  <c r="J345" i="2"/>
  <c r="J344" i="2"/>
  <c r="J343" i="2"/>
  <c r="J163" i="2"/>
  <c r="J156" i="2"/>
  <c r="J160" i="2"/>
  <c r="J495" i="2"/>
  <c r="J312" i="2"/>
  <c r="J77" i="2"/>
  <c r="J207" i="2"/>
  <c r="J205" i="2"/>
  <c r="J157" i="2"/>
  <c r="J209" i="2"/>
  <c r="J206" i="2"/>
  <c r="J208" i="2"/>
  <c r="J158" i="2"/>
  <c r="J164" i="2"/>
  <c r="J161" i="2"/>
  <c r="J109" i="2"/>
  <c r="J108" i="2"/>
  <c r="J107" i="2"/>
  <c r="J360" i="2"/>
  <c r="J359" i="2"/>
  <c r="J362" i="2"/>
  <c r="J402" i="2"/>
  <c r="J356" i="2"/>
  <c r="J355" i="2"/>
  <c r="J507" i="2"/>
  <c r="J508" i="2"/>
  <c r="J194" i="2"/>
  <c r="J201" i="2"/>
  <c r="J197" i="2"/>
  <c r="J255" i="2"/>
  <c r="J254" i="2"/>
  <c r="J65" i="2"/>
  <c r="J79" i="2"/>
  <c r="J81" i="2"/>
  <c r="J80" i="2"/>
  <c r="J84" i="2"/>
  <c r="J85" i="2"/>
  <c r="J83" i="2"/>
  <c r="J516" i="2"/>
  <c r="J515" i="2"/>
  <c r="J282" i="2"/>
  <c r="J284" i="2"/>
  <c r="J280" i="2"/>
  <c r="J285" i="2"/>
  <c r="J281" i="2"/>
  <c r="J180" i="2"/>
  <c r="J521" i="2"/>
  <c r="J522" i="2"/>
  <c r="J202" i="2"/>
  <c r="J195" i="2"/>
  <c r="J26" i="2"/>
  <c r="J27" i="2"/>
  <c r="J30" i="2"/>
  <c r="J29" i="2"/>
  <c r="J28" i="2"/>
  <c r="J35" i="2"/>
  <c r="J34" i="2"/>
  <c r="J46" i="2"/>
  <c r="J114" i="2"/>
  <c r="J115" i="2"/>
  <c r="J118" i="2"/>
  <c r="J116" i="2"/>
  <c r="J338" i="2"/>
  <c r="J321" i="2"/>
  <c r="J315" i="2"/>
  <c r="J453" i="2"/>
  <c r="J454" i="2"/>
  <c r="J452" i="2"/>
  <c r="J494" i="2"/>
  <c r="J499" i="2"/>
  <c r="J503" i="2"/>
  <c r="J504" i="2"/>
  <c r="J351" i="2"/>
  <c r="J350" i="2"/>
  <c r="J466" i="2"/>
  <c r="J465" i="2"/>
  <c r="J12" i="2"/>
  <c r="J105" i="2"/>
  <c r="J394" i="2"/>
  <c r="J393" i="2"/>
  <c r="J391" i="2"/>
  <c r="J322" i="2"/>
  <c r="J316" i="2"/>
  <c r="J328" i="2"/>
  <c r="J329" i="2"/>
  <c r="J323" i="2"/>
  <c r="J189" i="2"/>
  <c r="J188" i="2"/>
  <c r="J187" i="2"/>
  <c r="J68" i="2"/>
  <c r="J69" i="2"/>
  <c r="J67" i="2"/>
  <c r="J63" i="2"/>
  <c r="J64" i="2"/>
  <c r="J317" i="2"/>
  <c r="J330" i="2"/>
  <c r="J324" i="2"/>
  <c r="J325" i="2"/>
  <c r="J318" i="2"/>
  <c r="J326" i="2"/>
  <c r="J332" i="2"/>
  <c r="J319" i="2"/>
  <c r="J176" i="2"/>
  <c r="J243" i="2"/>
  <c r="J242" i="2"/>
  <c r="J241" i="2"/>
  <c r="J11" i="2"/>
  <c r="J10" i="2"/>
  <c r="J9" i="2"/>
  <c r="J468" i="2"/>
  <c r="J451" i="2"/>
  <c r="J450" i="2"/>
  <c r="J523" i="2"/>
  <c r="J525" i="2"/>
  <c r="J524" i="2"/>
  <c r="J458" i="2"/>
  <c r="J463" i="2"/>
  <c r="J459" i="2"/>
  <c r="J430" i="2"/>
  <c r="J416" i="2"/>
  <c r="J419" i="2"/>
  <c r="J420" i="2"/>
  <c r="J417" i="2"/>
  <c r="J415" i="2"/>
  <c r="J421" i="2"/>
  <c r="J418" i="2"/>
  <c r="J414" i="2"/>
  <c r="J292" i="2"/>
  <c r="J295" i="2"/>
  <c r="J288" i="2"/>
  <c r="J294" i="2"/>
  <c r="J291" i="2"/>
  <c r="J138" i="2"/>
  <c r="J136" i="2"/>
  <c r="J45" i="2"/>
  <c r="J56" i="2"/>
  <c r="J55" i="2"/>
  <c r="J472" i="2"/>
  <c r="J471" i="2"/>
  <c r="J250" i="2"/>
  <c r="J500" i="2"/>
  <c r="J232" i="2"/>
  <c r="J142" i="2"/>
  <c r="J144" i="2"/>
  <c r="J44" i="2"/>
  <c r="J43" i="2"/>
  <c r="J528" i="2"/>
  <c r="J527" i="2"/>
  <c r="J509" i="2"/>
  <c r="J511" i="2"/>
  <c r="J510" i="2"/>
  <c r="J397" i="2"/>
  <c r="J224" i="2"/>
  <c r="J216" i="2"/>
  <c r="J217" i="2"/>
  <c r="J239" i="2"/>
  <c r="J41" i="2"/>
  <c r="J40" i="2"/>
  <c r="J244" i="2"/>
  <c r="J462" i="2"/>
  <c r="J461" i="2"/>
  <c r="J171" i="2"/>
  <c r="J467" i="2"/>
  <c r="J381" i="2"/>
  <c r="J379" i="2"/>
  <c r="J382" i="2"/>
  <c r="J184" i="2"/>
  <c r="J169" i="2"/>
  <c r="J174" i="2"/>
  <c r="J172" i="2"/>
  <c r="J42" i="2"/>
  <c r="J175" i="2"/>
  <c r="J536" i="2"/>
  <c r="J348" i="2"/>
  <c r="J347" i="2"/>
  <c r="J346" i="2"/>
  <c r="J300" i="2"/>
  <c r="J57" i="2"/>
  <c r="J214" i="2"/>
  <c r="J212" i="2"/>
  <c r="J210" i="2"/>
  <c r="J384" i="2"/>
  <c r="J237" i="2"/>
  <c r="J235" i="2"/>
  <c r="J236" i="2"/>
  <c r="J104" i="2"/>
  <c r="J99" i="2"/>
  <c r="J413" i="2"/>
  <c r="J411" i="2"/>
  <c r="J412" i="2"/>
  <c r="J307" i="2"/>
  <c r="J301" i="2"/>
  <c r="J263" i="2"/>
  <c r="J273" i="2"/>
  <c r="J296" i="2"/>
  <c r="J336" i="2"/>
  <c r="J267" i="2"/>
  <c r="J100" i="2"/>
  <c r="J102" i="2"/>
  <c r="J540" i="2"/>
  <c r="J541" i="2"/>
  <c r="J539" i="2"/>
  <c r="J19" i="2"/>
  <c r="J190" i="2"/>
  <c r="J392" i="2"/>
  <c r="J512" i="2"/>
  <c r="J341" i="2"/>
  <c r="J270" i="2"/>
  <c r="J276" i="2"/>
  <c r="J274" i="2"/>
  <c r="J265" i="2"/>
  <c r="J269" i="2"/>
  <c r="J8" i="2"/>
  <c r="J520" i="2"/>
  <c r="J519" i="2"/>
  <c r="J342" i="2"/>
  <c r="J271" i="2"/>
  <c r="J277" i="2"/>
  <c r="J266" i="2"/>
  <c r="J279" i="2"/>
  <c r="J272" i="2"/>
  <c r="J60" i="2"/>
  <c r="J59" i="2"/>
  <c r="J58" i="2"/>
  <c r="J426" i="2"/>
  <c r="J425" i="2"/>
  <c r="J476" i="2"/>
  <c r="J106" i="2"/>
  <c r="J101" i="2"/>
  <c r="J103" i="2"/>
  <c r="J53" i="2"/>
  <c r="J52" i="2"/>
  <c r="J480" i="2"/>
  <c r="J234" i="2"/>
  <c r="J233" i="2"/>
  <c r="J151" i="2"/>
  <c r="J153" i="2"/>
  <c r="J149" i="2"/>
  <c r="J20" i="2"/>
  <c r="J396" i="2"/>
  <c r="J395" i="2"/>
  <c r="J256" i="2"/>
  <c r="J491" i="2"/>
  <c r="J490" i="2"/>
  <c r="J13" i="2"/>
  <c r="J367" i="2"/>
  <c r="J368" i="2"/>
  <c r="J369" i="2"/>
  <c r="J358" i="2"/>
  <c r="J286" i="2"/>
  <c r="J290" i="2"/>
  <c r="J183" i="2"/>
  <c r="J181" i="2"/>
  <c r="J182" i="2"/>
  <c r="J401" i="2"/>
  <c r="J400" i="2"/>
  <c r="J97" i="2"/>
  <c r="J94" i="2"/>
  <c r="J92" i="2"/>
  <c r="J537" i="2"/>
  <c r="J481" i="2"/>
  <c r="J486" i="2"/>
  <c r="J154" i="2"/>
  <c r="J152" i="2"/>
  <c r="J150" i="2"/>
  <c r="J98" i="2"/>
  <c r="J95" i="2"/>
  <c r="J399" i="2"/>
  <c r="J398" i="2"/>
  <c r="J204" i="2"/>
  <c r="J203" i="2"/>
  <c r="J18" i="2"/>
  <c r="J17" i="2"/>
  <c r="J124" i="2"/>
  <c r="J119" i="2"/>
  <c r="J128" i="2"/>
  <c r="J385" i="2"/>
  <c r="J7" i="2"/>
  <c r="J6" i="2"/>
  <c r="J337" i="2"/>
  <c r="J335" i="2"/>
  <c r="J333" i="2"/>
  <c r="J357" i="2"/>
  <c r="J376" i="2"/>
  <c r="J377" i="2"/>
  <c r="J375" i="2"/>
  <c r="J477" i="2"/>
  <c r="J479" i="2"/>
  <c r="J478" i="2"/>
  <c r="J545" i="2"/>
  <c r="J544" i="2"/>
  <c r="J72" i="2"/>
  <c r="J71" i="2"/>
  <c r="J70" i="2"/>
  <c r="J475" i="2"/>
  <c r="J474" i="2"/>
  <c r="J473" i="2"/>
  <c r="J531" i="2"/>
  <c r="J131" i="2"/>
  <c r="J123" i="2"/>
  <c r="J127" i="2"/>
  <c r="J122" i="2"/>
  <c r="J383" i="2"/>
  <c r="J427" i="2"/>
  <c r="J429" i="2"/>
  <c r="J248" i="2"/>
  <c r="J215" i="2"/>
  <c r="J374" i="2"/>
  <c r="J373" i="2"/>
  <c r="J354" i="2"/>
  <c r="J353" i="2"/>
  <c r="J352" i="2"/>
  <c r="J484" i="2"/>
  <c r="J483" i="2"/>
  <c r="J482" i="2"/>
  <c r="J447" i="2"/>
  <c r="J448" i="2"/>
  <c r="J428" i="2"/>
  <c r="J502" i="2"/>
  <c r="J371" i="2"/>
  <c r="J370" i="2"/>
  <c r="J222" i="2"/>
  <c r="J82" i="2"/>
  <c r="J406" i="2"/>
  <c r="J407" i="2"/>
  <c r="J4" i="2"/>
  <c r="J186" i="2"/>
  <c r="J185" i="2"/>
  <c r="J259" i="2"/>
  <c r="J231" i="2"/>
  <c r="J120" i="2"/>
  <c r="J129" i="2"/>
  <c r="J125" i="2"/>
  <c r="J141" i="2"/>
  <c r="J139" i="2"/>
  <c r="J140" i="2"/>
  <c r="J135" i="2"/>
  <c r="J134" i="2"/>
  <c r="J133" i="2"/>
  <c r="J405" i="2"/>
  <c r="J404" i="2"/>
  <c r="J403" i="2"/>
  <c r="J308" i="2"/>
  <c r="J302" i="2"/>
  <c r="J297" i="2"/>
  <c r="J303" i="2"/>
  <c r="J309" i="2"/>
  <c r="J543" i="2"/>
  <c r="J542" i="2"/>
  <c r="J431" i="2"/>
  <c r="J435" i="2"/>
  <c r="J433" i="2"/>
  <c r="J514" i="2"/>
  <c r="J513" i="2"/>
  <c r="J221" i="2"/>
  <c r="J310" i="2"/>
  <c r="J304" i="2"/>
  <c r="J298" i="2"/>
  <c r="J89" i="2"/>
  <c r="J90" i="2"/>
  <c r="J86" i="2"/>
  <c r="J88" i="2"/>
  <c r="J87" i="2"/>
  <c r="J434" i="2"/>
  <c r="J432" i="2"/>
  <c r="J422" i="2"/>
  <c r="J223" i="2"/>
  <c r="J470" i="2"/>
  <c r="J469" i="2"/>
  <c r="J229" i="2"/>
  <c r="J230" i="2"/>
  <c r="J228" i="2"/>
  <c r="J78" i="2"/>
  <c r="J213" i="2"/>
  <c r="J73" i="2"/>
  <c r="J75" i="2"/>
  <c r="J74" i="2"/>
  <c r="J501" i="2"/>
  <c r="J293" i="2"/>
  <c r="J287" i="2"/>
  <c r="J436" i="2"/>
  <c r="J440" i="2"/>
  <c r="J445" i="2"/>
  <c r="J449" i="2"/>
  <c r="J91" i="2"/>
  <c r="J93" i="2"/>
  <c r="J96" i="2"/>
  <c r="J526" i="2"/>
  <c r="J146" i="2"/>
  <c r="J148" i="2"/>
  <c r="J147" i="2"/>
  <c r="J145" i="2"/>
  <c r="J39" i="2"/>
  <c r="J37" i="2"/>
  <c r="J38" i="2"/>
  <c r="J497" i="2"/>
  <c r="J498" i="2"/>
  <c r="J496" i="2"/>
  <c r="J165" i="2"/>
  <c r="J167" i="2"/>
  <c r="J166" i="2"/>
  <c r="J249" i="2"/>
  <c r="J220" i="2"/>
  <c r="J219" i="2"/>
  <c r="J218" i="2"/>
  <c r="J489" i="2"/>
  <c r="J61" i="2"/>
  <c r="J62" i="2"/>
  <c r="J457" i="2"/>
  <c r="J456" i="2"/>
  <c r="J389" i="2"/>
  <c r="J388" i="2"/>
  <c r="J390" i="2"/>
  <c r="J492" i="2"/>
  <c r="J493" i="2"/>
  <c r="J173" i="2"/>
  <c r="J170" i="2"/>
  <c r="J168" i="2"/>
  <c r="J111" i="2"/>
  <c r="J112" i="2"/>
  <c r="J110" i="2"/>
  <c r="F383" i="2"/>
  <c r="E383" i="2"/>
  <c r="F72" i="2"/>
  <c r="E72" i="2"/>
  <c r="F475" i="2"/>
  <c r="E475" i="2"/>
  <c r="F535" i="2"/>
  <c r="E535" i="2"/>
  <c r="F534" i="2"/>
  <c r="E534" i="2"/>
  <c r="F131" i="2"/>
  <c r="E131" i="2"/>
  <c r="F338" i="2"/>
  <c r="E338" i="2"/>
  <c r="F479" i="2"/>
  <c r="E479" i="2"/>
  <c r="F545" i="2"/>
  <c r="E545" i="2"/>
  <c r="F179" i="2"/>
  <c r="E179" i="2"/>
  <c r="F24" i="2"/>
  <c r="E24" i="2"/>
  <c r="E141" i="2"/>
  <c r="F129" i="2"/>
  <c r="E129" i="2"/>
  <c r="F377" i="2"/>
  <c r="E377" i="2"/>
  <c r="F424" i="2"/>
  <c r="E424" i="2"/>
  <c r="F446" i="2"/>
  <c r="E446" i="2"/>
  <c r="F423" i="2"/>
  <c r="E423" i="2"/>
  <c r="F445" i="2"/>
  <c r="E445" i="2"/>
  <c r="F337" i="2"/>
  <c r="E337" i="2"/>
  <c r="E7" i="2"/>
  <c r="F128" i="2"/>
  <c r="E128" i="2"/>
  <c r="F90" i="2"/>
  <c r="E90" i="2"/>
  <c r="E18" i="2"/>
  <c r="E17" i="2"/>
  <c r="E16" i="2"/>
  <c r="F396" i="2"/>
  <c r="E396" i="2"/>
  <c r="F406" i="2"/>
  <c r="E406" i="2"/>
  <c r="F71" i="2"/>
  <c r="E71" i="2"/>
  <c r="F474" i="2"/>
  <c r="E474" i="2"/>
  <c r="E533" i="2"/>
  <c r="E532" i="2"/>
  <c r="F127" i="2"/>
  <c r="E127" i="2"/>
  <c r="F126" i="2"/>
  <c r="E126" i="2"/>
  <c r="F478" i="2"/>
  <c r="E478" i="2"/>
  <c r="F544" i="2"/>
  <c r="E544" i="2"/>
  <c r="F178" i="2"/>
  <c r="E178" i="2"/>
  <c r="E336" i="2"/>
  <c r="E140" i="2"/>
  <c r="F125" i="2"/>
  <c r="E125" i="2"/>
  <c r="E376" i="2"/>
  <c r="E444" i="2"/>
  <c r="E443" i="2"/>
  <c r="E442" i="2"/>
  <c r="E441" i="2"/>
  <c r="E440" i="2"/>
  <c r="E335" i="2"/>
  <c r="E6" i="2"/>
  <c r="F385" i="2"/>
  <c r="E385" i="2"/>
  <c r="F124" i="2"/>
  <c r="E124" i="2"/>
  <c r="E372" i="2"/>
  <c r="E334" i="2"/>
  <c r="F70" i="2"/>
  <c r="E70" i="2"/>
  <c r="F473" i="2"/>
  <c r="E473" i="2"/>
  <c r="E531" i="2"/>
  <c r="F530" i="2"/>
  <c r="E530" i="2"/>
  <c r="F123" i="2"/>
  <c r="E123" i="2"/>
  <c r="F122" i="2"/>
  <c r="E122" i="2"/>
  <c r="E77" i="2"/>
  <c r="F121" i="2"/>
  <c r="E121" i="2"/>
  <c r="F4" i="2"/>
  <c r="E4" i="2"/>
  <c r="F477" i="2"/>
  <c r="E477" i="2"/>
  <c r="F177" i="2"/>
  <c r="E177" i="2"/>
  <c r="F222" i="2"/>
  <c r="E222" i="2"/>
  <c r="F120" i="2"/>
  <c r="E120" i="2"/>
  <c r="F231" i="2"/>
  <c r="E231" i="2"/>
  <c r="F375" i="2"/>
  <c r="E375" i="2"/>
  <c r="E439" i="2"/>
  <c r="E438" i="2"/>
  <c r="E437" i="2"/>
  <c r="E436" i="2"/>
  <c r="E357" i="2"/>
  <c r="E333" i="2"/>
  <c r="F119" i="2"/>
  <c r="E119" i="2"/>
  <c r="E15" i="2"/>
  <c r="F395" i="2"/>
  <c r="E395" i="2"/>
  <c r="F243" i="2"/>
  <c r="E243" i="2"/>
  <c r="F332" i="2"/>
  <c r="E332" i="2"/>
  <c r="F44" i="2"/>
  <c r="E44" i="2"/>
  <c r="F331" i="2"/>
  <c r="E331" i="2"/>
  <c r="F69" i="2"/>
  <c r="E69" i="2"/>
  <c r="F64" i="2"/>
  <c r="E64" i="2"/>
  <c r="F330" i="2"/>
  <c r="E330" i="2"/>
  <c r="F189" i="2"/>
  <c r="E189" i="2"/>
  <c r="E329" i="2"/>
  <c r="F328" i="2"/>
  <c r="E328" i="2"/>
  <c r="F394" i="2"/>
  <c r="E394" i="2"/>
  <c r="F455" i="2"/>
  <c r="E455" i="2"/>
  <c r="F351" i="2"/>
  <c r="E351" i="2"/>
  <c r="F454" i="2"/>
  <c r="E454" i="2"/>
  <c r="F118" i="2"/>
  <c r="E118" i="2"/>
  <c r="E327" i="2"/>
  <c r="E242" i="2"/>
  <c r="F326" i="2"/>
  <c r="E326" i="2"/>
  <c r="E325" i="2"/>
  <c r="F68" i="2"/>
  <c r="E68" i="2"/>
  <c r="F324" i="2"/>
  <c r="E324" i="2"/>
  <c r="F188" i="2"/>
  <c r="E188" i="2"/>
  <c r="E323" i="2"/>
  <c r="E322" i="2"/>
  <c r="F393" i="2"/>
  <c r="E393" i="2"/>
  <c r="E148" i="2"/>
  <c r="F494" i="2"/>
  <c r="E494" i="2"/>
  <c r="F504" i="2"/>
  <c r="E504" i="2"/>
  <c r="F453" i="2"/>
  <c r="E453" i="2"/>
  <c r="E321" i="2"/>
  <c r="F116" i="2"/>
  <c r="E116" i="2"/>
  <c r="E320" i="2"/>
  <c r="E241" i="2"/>
  <c r="F176" i="2"/>
  <c r="E176" i="2"/>
  <c r="F319" i="2"/>
  <c r="E319" i="2"/>
  <c r="F43" i="2"/>
  <c r="E43" i="2"/>
  <c r="F318" i="2"/>
  <c r="E318" i="2"/>
  <c r="F67" i="2"/>
  <c r="E67" i="2"/>
  <c r="F63" i="2"/>
  <c r="E63" i="2"/>
  <c r="F317" i="2"/>
  <c r="E317" i="2"/>
  <c r="F187" i="2"/>
  <c r="E187" i="2"/>
  <c r="F316" i="2"/>
  <c r="E316" i="2"/>
  <c r="F391" i="2"/>
  <c r="E391" i="2"/>
  <c r="F147" i="2"/>
  <c r="E147" i="2"/>
  <c r="F12" i="2"/>
  <c r="E12" i="2"/>
  <c r="E350" i="2"/>
  <c r="F503" i="2"/>
  <c r="E503" i="2"/>
  <c r="F452" i="2"/>
  <c r="E452" i="2"/>
  <c r="F315" i="2"/>
  <c r="E315" i="2"/>
  <c r="F115" i="2"/>
  <c r="E115" i="2"/>
  <c r="F114" i="2"/>
  <c r="E114" i="2"/>
  <c r="F113" i="2"/>
  <c r="E113" i="2"/>
  <c r="E314" i="2"/>
  <c r="F46" i="2"/>
  <c r="E46" i="2"/>
  <c r="F410" i="2"/>
  <c r="E410" i="2"/>
  <c r="E313" i="2"/>
  <c r="E390" i="2"/>
  <c r="F348" i="2"/>
  <c r="E348" i="2"/>
  <c r="E174" i="2"/>
  <c r="F382" i="2"/>
  <c r="E382" i="2"/>
  <c r="F381" i="2"/>
  <c r="E381" i="2"/>
  <c r="F75" i="2"/>
  <c r="E75" i="2"/>
  <c r="F213" i="2"/>
  <c r="E213" i="2"/>
  <c r="F312" i="2"/>
  <c r="E312" i="2"/>
  <c r="F66" i="2"/>
  <c r="E66" i="2"/>
  <c r="F230" i="2"/>
  <c r="E230" i="2"/>
  <c r="F311" i="2"/>
  <c r="E311" i="2"/>
  <c r="F514" i="2"/>
  <c r="E514" i="2"/>
  <c r="F310" i="2"/>
  <c r="E310" i="2"/>
  <c r="E89" i="2"/>
  <c r="F422" i="2"/>
  <c r="E422" i="2"/>
  <c r="F435" i="2"/>
  <c r="E435" i="2"/>
  <c r="F543" i="2"/>
  <c r="E543" i="2"/>
  <c r="F309" i="2"/>
  <c r="E309" i="2"/>
  <c r="F308" i="2"/>
  <c r="E308" i="2"/>
  <c r="F49" i="2"/>
  <c r="E49" i="2"/>
  <c r="F405" i="2"/>
  <c r="E405" i="2"/>
  <c r="E135" i="2"/>
  <c r="F217" i="2"/>
  <c r="E217" i="2"/>
  <c r="F62" i="2"/>
  <c r="E62" i="2"/>
  <c r="F307" i="2"/>
  <c r="E307" i="2"/>
  <c r="F493" i="2"/>
  <c r="E493" i="2"/>
  <c r="F173" i="2"/>
  <c r="E173" i="2"/>
  <c r="F112" i="2"/>
  <c r="E112" i="2"/>
  <c r="E306" i="2"/>
  <c r="F212" i="2"/>
  <c r="E212" i="2"/>
  <c r="E240" i="2"/>
  <c r="F57" i="2"/>
  <c r="E57" i="2"/>
  <c r="F389" i="2"/>
  <c r="E389" i="2"/>
  <c r="E347" i="2"/>
  <c r="F536" i="2"/>
  <c r="E536" i="2"/>
  <c r="F172" i="2"/>
  <c r="E172" i="2"/>
  <c r="F184" i="2"/>
  <c r="E184" i="2"/>
  <c r="F380" i="2"/>
  <c r="E380" i="2"/>
  <c r="F467" i="2"/>
  <c r="E467" i="2"/>
  <c r="F171" i="2"/>
  <c r="E171" i="2"/>
  <c r="F464" i="2"/>
  <c r="E464" i="2"/>
  <c r="F74" i="2"/>
  <c r="E74" i="2"/>
  <c r="F211" i="2"/>
  <c r="E211" i="2"/>
  <c r="F78" i="2"/>
  <c r="E78" i="2"/>
  <c r="F229" i="2"/>
  <c r="E229" i="2"/>
  <c r="F305" i="2"/>
  <c r="E305" i="2"/>
  <c r="F186" i="2"/>
  <c r="E186" i="2"/>
  <c r="F470" i="2"/>
  <c r="E470" i="2"/>
  <c r="F221" i="2"/>
  <c r="E221" i="2"/>
  <c r="F304" i="2"/>
  <c r="E304" i="2"/>
  <c r="F88" i="2"/>
  <c r="E88" i="2"/>
  <c r="F434" i="2"/>
  <c r="E434" i="2"/>
  <c r="F433" i="2"/>
  <c r="E433" i="2"/>
  <c r="F542" i="2"/>
  <c r="E542" i="2"/>
  <c r="F303" i="2"/>
  <c r="E303" i="2"/>
  <c r="F302" i="2"/>
  <c r="E302" i="2"/>
  <c r="F404" i="2"/>
  <c r="E404" i="2"/>
  <c r="E216" i="2"/>
  <c r="F489" i="2"/>
  <c r="E489" i="2"/>
  <c r="F457" i="2"/>
  <c r="E457" i="2"/>
  <c r="F301" i="2"/>
  <c r="E301" i="2"/>
  <c r="F170" i="2"/>
  <c r="E170" i="2"/>
  <c r="F111" i="2"/>
  <c r="E111" i="2"/>
  <c r="F239" i="2"/>
  <c r="E239" i="2"/>
  <c r="E388" i="2"/>
  <c r="F300" i="2"/>
  <c r="E300" i="2"/>
  <c r="E346" i="2"/>
  <c r="F42" i="2"/>
  <c r="E42" i="2"/>
  <c r="F169" i="2"/>
  <c r="E169" i="2"/>
  <c r="F379" i="2"/>
  <c r="E379" i="2"/>
  <c r="E378" i="2"/>
  <c r="F73" i="2"/>
  <c r="E73" i="2"/>
  <c r="E139" i="2"/>
  <c r="F228" i="2"/>
  <c r="E228" i="2"/>
  <c r="E299" i="2"/>
  <c r="E185" i="2"/>
  <c r="F469" i="2"/>
  <c r="E469" i="2"/>
  <c r="F513" i="2"/>
  <c r="E513" i="2"/>
  <c r="F298" i="2"/>
  <c r="E298" i="2"/>
  <c r="F223" i="2"/>
  <c r="E223" i="2"/>
  <c r="F432" i="2"/>
  <c r="E432" i="2"/>
  <c r="E87" i="2"/>
  <c r="F431" i="2"/>
  <c r="E431" i="2"/>
  <c r="F297" i="2"/>
  <c r="E297" i="2"/>
  <c r="F403" i="2"/>
  <c r="E403" i="2"/>
  <c r="E133" i="2"/>
  <c r="E224" i="2"/>
  <c r="F61" i="2"/>
  <c r="E61" i="2"/>
  <c r="F456" i="2"/>
  <c r="E456" i="2"/>
  <c r="E296" i="2"/>
  <c r="F492" i="2"/>
  <c r="E492" i="2"/>
  <c r="F168" i="2"/>
  <c r="E168" i="2"/>
  <c r="F110" i="2"/>
  <c r="E110" i="2"/>
  <c r="F295" i="2"/>
  <c r="E295" i="2"/>
  <c r="F421" i="2"/>
  <c r="E421" i="2"/>
  <c r="F420" i="2"/>
  <c r="E420" i="2"/>
  <c r="E419" i="2"/>
  <c r="F463" i="2"/>
  <c r="E463" i="2"/>
  <c r="F525" i="2"/>
  <c r="E525" i="2"/>
  <c r="F468" i="2"/>
  <c r="E468" i="2"/>
  <c r="F11" i="2"/>
  <c r="E11" i="2"/>
  <c r="F294" i="2"/>
  <c r="E294" i="2"/>
  <c r="E137" i="2"/>
  <c r="F138" i="2"/>
  <c r="E138" i="2"/>
  <c r="E488" i="2"/>
  <c r="F56" i="2"/>
  <c r="E56" i="2"/>
  <c r="F472" i="2"/>
  <c r="E472" i="2"/>
  <c r="F232" i="2"/>
  <c r="E232" i="2"/>
  <c r="F144" i="2"/>
  <c r="E144" i="2"/>
  <c r="F39" i="2"/>
  <c r="E39" i="2"/>
  <c r="F167" i="2"/>
  <c r="E167" i="2"/>
  <c r="F498" i="2"/>
  <c r="E498" i="2"/>
  <c r="F220" i="2"/>
  <c r="E220" i="2"/>
  <c r="F244" i="2"/>
  <c r="E244" i="2"/>
  <c r="F41" i="2"/>
  <c r="E41" i="2"/>
  <c r="F248" i="2"/>
  <c r="E248" i="2"/>
  <c r="F462" i="2"/>
  <c r="E462" i="2"/>
  <c r="F397" i="2"/>
  <c r="E397" i="2"/>
  <c r="F511" i="2"/>
  <c r="E511" i="2"/>
  <c r="F529" i="2"/>
  <c r="E529" i="2"/>
  <c r="F528" i="2"/>
  <c r="E528" i="2"/>
  <c r="F293" i="2"/>
  <c r="E293" i="2"/>
  <c r="F292" i="2"/>
  <c r="E292" i="2"/>
  <c r="E418" i="2"/>
  <c r="E417" i="2"/>
  <c r="E430" i="2"/>
  <c r="F524" i="2"/>
  <c r="E524" i="2"/>
  <c r="F451" i="2"/>
  <c r="E451" i="2"/>
  <c r="F10" i="2"/>
  <c r="E10" i="2"/>
  <c r="F291" i="2"/>
  <c r="E291" i="2"/>
  <c r="E487" i="2"/>
  <c r="F38" i="2"/>
  <c r="E38" i="2"/>
  <c r="F166" i="2"/>
  <c r="E166" i="2"/>
  <c r="F486" i="2"/>
  <c r="E486" i="2"/>
  <c r="F497" i="2"/>
  <c r="E497" i="2"/>
  <c r="F219" i="2"/>
  <c r="E219" i="2"/>
  <c r="F40" i="2"/>
  <c r="E40" i="2"/>
  <c r="F461" i="2"/>
  <c r="E461" i="2"/>
  <c r="F460" i="2"/>
  <c r="E460" i="2"/>
  <c r="F510" i="2"/>
  <c r="E510" i="2"/>
  <c r="E501" i="2"/>
  <c r="E290" i="2"/>
  <c r="E14" i="2"/>
  <c r="F499" i="2"/>
  <c r="E499" i="2"/>
  <c r="F143" i="2"/>
  <c r="E143" i="2"/>
  <c r="F86" i="2"/>
  <c r="E86" i="2"/>
  <c r="F238" i="2"/>
  <c r="E238" i="2"/>
  <c r="E289" i="2"/>
  <c r="F210" i="2"/>
  <c r="E210" i="2"/>
  <c r="F527" i="2"/>
  <c r="E527" i="2"/>
  <c r="F509" i="2"/>
  <c r="E509" i="2"/>
  <c r="F215" i="2"/>
  <c r="E215" i="2"/>
  <c r="F218" i="2"/>
  <c r="E218" i="2"/>
  <c r="F496" i="2"/>
  <c r="E496" i="2"/>
  <c r="F37" i="2"/>
  <c r="E37" i="2"/>
  <c r="F165" i="2"/>
  <c r="E165" i="2"/>
  <c r="F142" i="2"/>
  <c r="E142" i="2"/>
  <c r="F500" i="2"/>
  <c r="E500" i="2"/>
  <c r="F250" i="2"/>
  <c r="E250" i="2"/>
  <c r="F471" i="2"/>
  <c r="E471" i="2"/>
  <c r="F48" i="2"/>
  <c r="E48" i="2"/>
  <c r="F55" i="2"/>
  <c r="E55" i="2"/>
  <c r="F45" i="2"/>
  <c r="E45" i="2"/>
  <c r="F485" i="2"/>
  <c r="E485" i="2"/>
  <c r="F9" i="2"/>
  <c r="E9" i="2"/>
  <c r="F288" i="2"/>
  <c r="E288" i="2"/>
  <c r="F450" i="2"/>
  <c r="E450" i="2"/>
  <c r="E523" i="2"/>
  <c r="F459" i="2"/>
  <c r="E459" i="2"/>
  <c r="F416" i="2"/>
  <c r="E416" i="2"/>
  <c r="E415" i="2"/>
  <c r="F414" i="2"/>
  <c r="E414" i="2"/>
  <c r="F287" i="2"/>
  <c r="E287" i="2"/>
  <c r="F286" i="2"/>
  <c r="E286" i="2"/>
  <c r="F82" i="2"/>
  <c r="E82" i="2"/>
  <c r="F33" i="2"/>
  <c r="E33" i="2"/>
  <c r="E32" i="2"/>
  <c r="E31" i="2"/>
  <c r="E30" i="2"/>
  <c r="F36" i="2"/>
  <c r="E36" i="2"/>
  <c r="F202" i="2"/>
  <c r="E202" i="2"/>
  <c r="F409" i="2"/>
  <c r="E409" i="2"/>
  <c r="E285" i="2"/>
  <c r="E284" i="2"/>
  <c r="F516" i="2"/>
  <c r="E516" i="2"/>
  <c r="F85" i="2"/>
  <c r="E85" i="2"/>
  <c r="E201" i="2"/>
  <c r="E356" i="2"/>
  <c r="F362" i="2"/>
  <c r="E362" i="2"/>
  <c r="F109" i="2"/>
  <c r="E109" i="2"/>
  <c r="F164" i="2"/>
  <c r="E164" i="2"/>
  <c r="F209" i="2"/>
  <c r="E209" i="2"/>
  <c r="F163" i="2"/>
  <c r="E163" i="2"/>
  <c r="E345" i="2"/>
  <c r="E361" i="2"/>
  <c r="F200" i="2"/>
  <c r="E200" i="2"/>
  <c r="E199" i="2"/>
  <c r="E162" i="2"/>
  <c r="E198" i="2"/>
  <c r="F247" i="2"/>
  <c r="E247" i="2"/>
  <c r="E283" i="2"/>
  <c r="E25" i="2"/>
  <c r="F29" i="2"/>
  <c r="E29" i="2"/>
  <c r="F35" i="2"/>
  <c r="E35" i="2"/>
  <c r="F47" i="2"/>
  <c r="E47" i="2"/>
  <c r="F522" i="2"/>
  <c r="E522" i="2"/>
  <c r="F282" i="2"/>
  <c r="E282" i="2"/>
  <c r="F80" i="2"/>
  <c r="E80" i="2"/>
  <c r="F65" i="2"/>
  <c r="E65" i="2"/>
  <c r="F255" i="2"/>
  <c r="E255" i="2"/>
  <c r="F197" i="2"/>
  <c r="E197" i="2"/>
  <c r="F508" i="2"/>
  <c r="E508" i="2"/>
  <c r="F402" i="2"/>
  <c r="E402" i="2"/>
  <c r="F360" i="2"/>
  <c r="E360" i="2"/>
  <c r="E108" i="2"/>
  <c r="F161" i="2"/>
  <c r="E161" i="2"/>
  <c r="F208" i="2"/>
  <c r="E208" i="2"/>
  <c r="E207" i="2"/>
  <c r="F160" i="2"/>
  <c r="E160" i="2"/>
  <c r="F344" i="2"/>
  <c r="E344" i="2"/>
  <c r="F364" i="2"/>
  <c r="E364" i="2"/>
  <c r="F196" i="2"/>
  <c r="E196" i="2"/>
  <c r="F51" i="2"/>
  <c r="E51" i="2"/>
  <c r="F159" i="2"/>
  <c r="E159" i="2"/>
  <c r="F246" i="2"/>
  <c r="E246" i="2"/>
  <c r="E34" i="2"/>
  <c r="F28" i="2"/>
  <c r="E28" i="2"/>
  <c r="E195" i="2"/>
  <c r="F518" i="2"/>
  <c r="E518" i="2"/>
  <c r="E521" i="2"/>
  <c r="F517" i="2"/>
  <c r="E517" i="2"/>
  <c r="E408" i="2"/>
  <c r="E281" i="2"/>
  <c r="F180" i="2"/>
  <c r="E180" i="2"/>
  <c r="E280" i="2"/>
  <c r="F515" i="2"/>
  <c r="E515" i="2"/>
  <c r="F83" i="2"/>
  <c r="E83" i="2"/>
  <c r="E194" i="2"/>
  <c r="F193" i="2"/>
  <c r="E193" i="2"/>
  <c r="F192" i="2"/>
  <c r="E192" i="2"/>
  <c r="E355" i="2"/>
  <c r="F507" i="2"/>
  <c r="E507" i="2"/>
  <c r="F359" i="2"/>
  <c r="E359" i="2"/>
  <c r="F107" i="2"/>
  <c r="E107" i="2"/>
  <c r="F158" i="2"/>
  <c r="E158" i="2"/>
  <c r="F157" i="2"/>
  <c r="E157" i="2"/>
  <c r="F206" i="2"/>
  <c r="E206" i="2"/>
  <c r="F205" i="2"/>
  <c r="E205" i="2"/>
  <c r="F156" i="2"/>
  <c r="E156" i="2"/>
  <c r="F495" i="2"/>
  <c r="E495" i="2"/>
  <c r="F343" i="2"/>
  <c r="E343" i="2"/>
  <c r="E363" i="2"/>
  <c r="F50" i="2"/>
  <c r="E50" i="2"/>
  <c r="F155" i="2"/>
  <c r="E155" i="2"/>
  <c r="F191" i="2"/>
  <c r="E191" i="2"/>
  <c r="F245" i="2"/>
  <c r="E245" i="2"/>
  <c r="F506" i="2"/>
  <c r="E506" i="2"/>
  <c r="F54" i="2"/>
  <c r="E54" i="2"/>
  <c r="F106" i="2"/>
  <c r="E106" i="2"/>
  <c r="E279" i="2"/>
  <c r="F278" i="2"/>
  <c r="E278" i="2"/>
  <c r="F520" i="2"/>
  <c r="E520" i="2"/>
  <c r="E277" i="2"/>
  <c r="E276" i="2"/>
  <c r="F275" i="2"/>
  <c r="E275" i="2"/>
  <c r="E274" i="2"/>
  <c r="E512" i="2"/>
  <c r="E105" i="2"/>
  <c r="F190" i="2"/>
  <c r="E190" i="2"/>
  <c r="F387" i="2"/>
  <c r="E387" i="2"/>
  <c r="F541" i="2"/>
  <c r="E541" i="2"/>
  <c r="F273" i="2"/>
  <c r="E273" i="2"/>
  <c r="F413" i="2"/>
  <c r="E413" i="2"/>
  <c r="F104" i="2"/>
  <c r="E104" i="2"/>
  <c r="E429" i="2"/>
  <c r="F374" i="2"/>
  <c r="E374" i="2"/>
  <c r="E354" i="2"/>
  <c r="F484" i="2"/>
  <c r="E484" i="2"/>
  <c r="F428" i="2"/>
  <c r="E428" i="2"/>
  <c r="F371" i="2"/>
  <c r="E371" i="2"/>
  <c r="E227" i="2"/>
  <c r="F22" i="2"/>
  <c r="E22" i="2"/>
  <c r="F466" i="2"/>
  <c r="E466" i="2"/>
  <c r="F5" i="2"/>
  <c r="E5" i="2"/>
  <c r="F237" i="2"/>
  <c r="E237" i="2"/>
  <c r="F249" i="2"/>
  <c r="E249" i="2"/>
  <c r="F53" i="2"/>
  <c r="E53" i="2"/>
  <c r="F103" i="2"/>
  <c r="E103" i="2"/>
  <c r="F366" i="2"/>
  <c r="E366" i="2"/>
  <c r="F365" i="2"/>
  <c r="E365" i="2"/>
  <c r="F59" i="2"/>
  <c r="E59" i="2"/>
  <c r="F272" i="2"/>
  <c r="E272" i="2"/>
  <c r="F426" i="2"/>
  <c r="E426" i="2"/>
  <c r="F476" i="2"/>
  <c r="E476" i="2"/>
  <c r="E271" i="2"/>
  <c r="F270" i="2"/>
  <c r="E270" i="2"/>
  <c r="E269" i="2"/>
  <c r="F268" i="2"/>
  <c r="E268" i="2"/>
  <c r="F392" i="2"/>
  <c r="E392" i="2"/>
  <c r="F386" i="2"/>
  <c r="E386" i="2"/>
  <c r="F540" i="2"/>
  <c r="E540" i="2"/>
  <c r="F458" i="2"/>
  <c r="E458" i="2"/>
  <c r="F102" i="2"/>
  <c r="E102" i="2"/>
  <c r="F26" i="2"/>
  <c r="E26" i="2"/>
  <c r="F267" i="2"/>
  <c r="E267" i="2"/>
  <c r="F412" i="2"/>
  <c r="E412" i="2"/>
  <c r="E427" i="2"/>
  <c r="F373" i="2"/>
  <c r="E373" i="2"/>
  <c r="F353" i="2"/>
  <c r="E353" i="2"/>
  <c r="F483" i="2"/>
  <c r="E483" i="2"/>
  <c r="F448" i="2"/>
  <c r="E448" i="2"/>
  <c r="F226" i="2"/>
  <c r="E226" i="2"/>
  <c r="F21" i="2"/>
  <c r="E21" i="2"/>
  <c r="E505" i="2"/>
  <c r="F384" i="2"/>
  <c r="E384" i="2"/>
  <c r="F52" i="2"/>
  <c r="E52" i="2"/>
  <c r="F101" i="2"/>
  <c r="E101" i="2"/>
  <c r="F19" i="2"/>
  <c r="E19" i="2"/>
  <c r="F58" i="2"/>
  <c r="E58" i="2"/>
  <c r="F425" i="2"/>
  <c r="E425" i="2"/>
  <c r="F519" i="2"/>
  <c r="E519" i="2"/>
  <c r="E342" i="2"/>
  <c r="F341" i="2"/>
  <c r="E341" i="2"/>
  <c r="F265" i="2"/>
  <c r="E265" i="2"/>
  <c r="F264" i="2"/>
  <c r="E264" i="2"/>
  <c r="F8" i="2"/>
  <c r="E8" i="2"/>
  <c r="F539" i="2"/>
  <c r="E539" i="2"/>
  <c r="F100" i="2"/>
  <c r="E100" i="2"/>
  <c r="F263" i="2"/>
  <c r="E263" i="2"/>
  <c r="F411" i="2"/>
  <c r="E411" i="2"/>
  <c r="F99" i="2"/>
  <c r="E99" i="2"/>
  <c r="F352" i="2"/>
  <c r="E352" i="2"/>
  <c r="F482" i="2"/>
  <c r="E482" i="2"/>
  <c r="F447" i="2"/>
  <c r="E447" i="2"/>
  <c r="F502" i="2"/>
  <c r="E502" i="2"/>
  <c r="F370" i="2"/>
  <c r="E370" i="2"/>
  <c r="F225" i="2"/>
  <c r="E225" i="2"/>
  <c r="F465" i="2"/>
  <c r="E465" i="2"/>
  <c r="E235" i="2"/>
  <c r="F204" i="2"/>
  <c r="E204" i="2"/>
  <c r="F98" i="2"/>
  <c r="E98" i="2"/>
  <c r="F154" i="2"/>
  <c r="E154" i="2"/>
  <c r="E262" i="2"/>
  <c r="E260" i="2"/>
  <c r="E538" i="2"/>
  <c r="F97" i="2"/>
  <c r="E97" i="2"/>
  <c r="E253" i="2"/>
  <c r="F183" i="2"/>
  <c r="E183" i="2"/>
  <c r="E369" i="2"/>
  <c r="E491" i="2"/>
  <c r="F96" i="2"/>
  <c r="E96" i="2"/>
  <c r="F449" i="2"/>
  <c r="E449" i="2"/>
  <c r="F153" i="2"/>
  <c r="E153" i="2"/>
  <c r="F203" i="2"/>
  <c r="E203" i="2"/>
  <c r="F399" i="2"/>
  <c r="E399" i="2"/>
  <c r="F95" i="2"/>
  <c r="E95" i="2"/>
  <c r="F152" i="2"/>
  <c r="E152" i="2"/>
  <c r="F94" i="2"/>
  <c r="E94" i="2"/>
  <c r="E401" i="2"/>
  <c r="E252" i="2"/>
  <c r="F182" i="2"/>
  <c r="E182" i="2"/>
  <c r="F368" i="2"/>
  <c r="E368" i="2"/>
  <c r="E490" i="2"/>
  <c r="E340" i="2"/>
  <c r="E145" i="2"/>
  <c r="F93" i="2"/>
  <c r="E93" i="2"/>
  <c r="F20" i="2"/>
  <c r="E20" i="2"/>
  <c r="F151" i="2"/>
  <c r="E151" i="2"/>
  <c r="F234" i="2"/>
  <c r="E234" i="2"/>
  <c r="F480" i="2"/>
  <c r="E480" i="2"/>
  <c r="F398" i="2"/>
  <c r="E398" i="2"/>
  <c r="F150" i="2"/>
  <c r="E150" i="2"/>
  <c r="F481" i="2"/>
  <c r="E481" i="2"/>
  <c r="E259" i="2"/>
  <c r="F258" i="2"/>
  <c r="E258" i="2"/>
  <c r="E257" i="2"/>
  <c r="E537" i="2"/>
  <c r="F92" i="2"/>
  <c r="E92" i="2"/>
  <c r="E400" i="2"/>
  <c r="E251" i="2"/>
  <c r="F358" i="2"/>
  <c r="E358" i="2"/>
  <c r="E367" i="2"/>
  <c r="F13" i="2"/>
  <c r="E13" i="2"/>
  <c r="E256" i="2"/>
  <c r="F339" i="2"/>
  <c r="E339" i="2"/>
  <c r="F526" i="2"/>
  <c r="E526" i="2"/>
  <c r="F91" i="2"/>
  <c r="E91" i="2"/>
  <c r="F149" i="2"/>
  <c r="E149" i="2"/>
  <c r="F233" i="2"/>
  <c r="E233" i="2"/>
  <c r="K154" i="2" l="1"/>
  <c r="K152" i="2"/>
  <c r="K92" i="2"/>
  <c r="K305" i="2"/>
  <c r="K536" i="2"/>
  <c r="K130" i="2"/>
  <c r="K126" i="2"/>
  <c r="K121" i="2"/>
  <c r="K49" i="2"/>
  <c r="K48" i="2"/>
  <c r="K47" i="2"/>
  <c r="K129" i="2"/>
  <c r="K125" i="2"/>
  <c r="K120" i="2"/>
  <c r="K384" i="2"/>
  <c r="K222" i="2"/>
  <c r="K545" i="2"/>
  <c r="K544" i="2"/>
  <c r="K398" i="2"/>
  <c r="K56" i="2"/>
  <c r="K55" i="2"/>
  <c r="K124" i="2"/>
  <c r="K502" i="2"/>
  <c r="K464" i="2"/>
  <c r="K69" i="2"/>
  <c r="K68" i="2"/>
  <c r="K67" i="2"/>
  <c r="K407" i="2"/>
  <c r="K406" i="2"/>
  <c r="K413" i="2"/>
  <c r="K412" i="2"/>
  <c r="K411" i="2"/>
  <c r="K176" i="2"/>
  <c r="K514" i="2"/>
  <c r="K221" i="2"/>
  <c r="K513" i="2"/>
  <c r="K57" i="2"/>
  <c r="K173" i="2"/>
  <c r="K170" i="2"/>
  <c r="K168" i="2"/>
  <c r="K12" i="2"/>
  <c r="K541" i="2"/>
  <c r="K543" i="2"/>
  <c r="K542" i="2"/>
  <c r="K385" i="2"/>
  <c r="K462" i="2"/>
  <c r="K461" i="2"/>
  <c r="K460" i="2"/>
  <c r="K489" i="2"/>
  <c r="K405" i="2"/>
  <c r="K404" i="2"/>
  <c r="K403" i="2"/>
  <c r="K389" i="2"/>
  <c r="K377" i="2"/>
  <c r="K114" i="2"/>
  <c r="K494" i="2"/>
  <c r="K237" i="2"/>
  <c r="K476" i="2"/>
  <c r="K396" i="2"/>
  <c r="K395" i="2"/>
  <c r="K293" i="2"/>
  <c r="K287" i="2"/>
  <c r="K501" i="2"/>
  <c r="K42" i="2"/>
  <c r="K164" i="2"/>
  <c r="K158" i="2"/>
  <c r="K479" i="2"/>
  <c r="K478" i="2"/>
  <c r="K477" i="2"/>
  <c r="K397" i="2"/>
  <c r="K516" i="2"/>
  <c r="K515" i="2"/>
  <c r="K118" i="2"/>
  <c r="K115" i="2"/>
  <c r="K180" i="2"/>
  <c r="K64" i="2"/>
  <c r="K63" i="2"/>
  <c r="K463" i="2"/>
  <c r="K459" i="2"/>
  <c r="K493" i="2"/>
  <c r="K492" i="2"/>
  <c r="K466" i="2"/>
  <c r="K465" i="2"/>
  <c r="K467" i="2"/>
  <c r="K470" i="2"/>
  <c r="K469" i="2"/>
  <c r="K153" i="2"/>
  <c r="K149" i="2"/>
  <c r="K8" i="2"/>
  <c r="K106" i="2"/>
  <c r="K103" i="2"/>
  <c r="K101" i="2"/>
  <c r="K11" i="2"/>
  <c r="K10" i="2"/>
  <c r="K9" i="2"/>
  <c r="K171" i="2"/>
  <c r="K93" i="2"/>
  <c r="K91" i="2"/>
  <c r="K175" i="2"/>
  <c r="K163" i="2"/>
  <c r="K160" i="2"/>
  <c r="K156" i="2"/>
  <c r="K538" i="2"/>
  <c r="K537" i="2"/>
  <c r="K70" i="2"/>
  <c r="K51" i="2"/>
  <c r="K50" i="2"/>
  <c r="K458" i="2"/>
  <c r="K131" i="2"/>
  <c r="K127" i="2"/>
  <c r="K123" i="2"/>
  <c r="K235" i="2"/>
  <c r="K19" i="2"/>
  <c r="K4" i="2"/>
  <c r="K112" i="2"/>
  <c r="K111" i="2"/>
  <c r="K110" i="2"/>
  <c r="K109" i="2"/>
  <c r="K107" i="2"/>
  <c r="K480" i="2"/>
  <c r="K472" i="2"/>
  <c r="K471" i="2"/>
  <c r="K498" i="2"/>
  <c r="K497" i="2"/>
  <c r="K496" i="2"/>
  <c r="K288" i="2"/>
  <c r="K45" i="2"/>
  <c r="K249" i="2"/>
  <c r="K184" i="2"/>
  <c r="K475" i="2"/>
  <c r="K474" i="2"/>
  <c r="K473" i="2"/>
  <c r="K41" i="2"/>
  <c r="K40" i="2"/>
  <c r="K495" i="2"/>
  <c r="J49" i="2"/>
  <c r="J48" i="2"/>
  <c r="J47" i="2"/>
  <c r="J305" i="2"/>
  <c r="J130" i="2"/>
  <c r="J126" i="2"/>
  <c r="J121" i="2"/>
  <c r="J179" i="2"/>
  <c r="J178" i="2"/>
  <c r="J177" i="2"/>
  <c r="J538" i="2"/>
  <c r="J464" i="2"/>
  <c r="J460" i="2"/>
  <c r="I72" i="2"/>
  <c r="I475" i="2"/>
  <c r="I131" i="2"/>
  <c r="I338" i="2"/>
  <c r="I479" i="2"/>
  <c r="I545" i="2"/>
  <c r="I179" i="2"/>
  <c r="I377" i="2"/>
  <c r="I128" i="2"/>
  <c r="I396" i="2"/>
  <c r="I71" i="2"/>
  <c r="I474" i="2"/>
  <c r="I127" i="2"/>
  <c r="I478" i="2"/>
  <c r="I544" i="2"/>
  <c r="I178" i="2"/>
  <c r="I140" i="2"/>
  <c r="I385" i="2"/>
  <c r="I372" i="2"/>
  <c r="I70" i="2"/>
  <c r="I473" i="2"/>
  <c r="I123" i="2"/>
  <c r="I4" i="2"/>
  <c r="I477" i="2"/>
  <c r="I177" i="2"/>
  <c r="I222" i="2"/>
  <c r="I231" i="2"/>
  <c r="I119" i="2"/>
  <c r="I395" i="2"/>
  <c r="I243" i="2"/>
  <c r="I44" i="2"/>
  <c r="I64" i="2"/>
  <c r="I330" i="2"/>
  <c r="I189" i="2"/>
  <c r="I351" i="2"/>
  <c r="I454" i="2"/>
  <c r="I324" i="2"/>
  <c r="I188" i="2"/>
  <c r="I494" i="2"/>
  <c r="I453" i="2"/>
  <c r="I176" i="2"/>
  <c r="I319" i="2"/>
  <c r="I43" i="2"/>
  <c r="I63" i="2"/>
  <c r="I317" i="2"/>
  <c r="I187" i="2"/>
  <c r="I12" i="2"/>
  <c r="I350" i="2"/>
  <c r="I452" i="2"/>
  <c r="I315" i="2"/>
  <c r="I46" i="2"/>
  <c r="I390" i="2"/>
  <c r="I174" i="2"/>
  <c r="I381" i="2"/>
  <c r="I75" i="2"/>
  <c r="I213" i="2"/>
  <c r="I230" i="2"/>
  <c r="I514" i="2"/>
  <c r="I435" i="2"/>
  <c r="I543" i="2"/>
  <c r="I309" i="2"/>
  <c r="I49" i="2"/>
  <c r="I135" i="2"/>
  <c r="I217" i="2"/>
  <c r="I493" i="2"/>
  <c r="I173" i="2"/>
  <c r="I57" i="2"/>
  <c r="I389" i="2"/>
  <c r="I536" i="2"/>
  <c r="I172" i="2"/>
  <c r="I184" i="2"/>
  <c r="I467" i="2"/>
  <c r="I74" i="2"/>
  <c r="I305" i="2"/>
  <c r="I186" i="2"/>
  <c r="I221" i="2"/>
  <c r="I434" i="2"/>
  <c r="I433" i="2"/>
  <c r="I542" i="2"/>
  <c r="I303" i="2"/>
  <c r="I134" i="2"/>
  <c r="I216" i="2"/>
  <c r="I489" i="2"/>
  <c r="I457" i="2"/>
  <c r="I170" i="2"/>
  <c r="I239" i="2"/>
  <c r="I388" i="2"/>
  <c r="I300" i="2"/>
  <c r="I42" i="2"/>
  <c r="I169" i="2"/>
  <c r="I379" i="2"/>
  <c r="I73" i="2"/>
  <c r="I185" i="2"/>
  <c r="I513" i="2"/>
  <c r="I432" i="2"/>
  <c r="I431" i="2"/>
  <c r="I133" i="2"/>
  <c r="I224" i="2"/>
  <c r="I456" i="2"/>
  <c r="I492" i="2"/>
  <c r="I168" i="2"/>
  <c r="I463" i="2"/>
  <c r="I525" i="2"/>
  <c r="I11" i="2"/>
  <c r="I232" i="2"/>
  <c r="I144" i="2"/>
  <c r="I498" i="2"/>
  <c r="I220" i="2"/>
  <c r="I244" i="2"/>
  <c r="I41" i="2"/>
  <c r="I397" i="2"/>
  <c r="I524" i="2"/>
  <c r="I451" i="2"/>
  <c r="I10" i="2"/>
  <c r="I487" i="2"/>
  <c r="I486" i="2"/>
  <c r="I497" i="2"/>
  <c r="I219" i="2"/>
  <c r="I40" i="2"/>
  <c r="I501" i="2"/>
  <c r="I499" i="2"/>
  <c r="I218" i="2"/>
  <c r="I496" i="2"/>
  <c r="I142" i="2"/>
  <c r="I500" i="2"/>
  <c r="I250" i="2"/>
  <c r="I55" i="2"/>
  <c r="I485" i="2"/>
  <c r="I9" i="2"/>
  <c r="I450" i="2"/>
  <c r="I523" i="2"/>
  <c r="I459" i="2"/>
  <c r="I287" i="2"/>
  <c r="I82" i="2"/>
  <c r="I202" i="2"/>
  <c r="I285" i="2"/>
  <c r="I81" i="2"/>
  <c r="I201" i="2"/>
  <c r="I362" i="2"/>
  <c r="I209" i="2"/>
  <c r="I345" i="2"/>
  <c r="I199" i="2"/>
  <c r="I247" i="2"/>
  <c r="I25" i="2"/>
  <c r="I47" i="2"/>
  <c r="I522" i="2"/>
  <c r="I80" i="2"/>
  <c r="I255" i="2"/>
  <c r="I197" i="2"/>
  <c r="I508" i="2"/>
  <c r="I360" i="2"/>
  <c r="I161" i="2"/>
  <c r="I344" i="2"/>
  <c r="I51" i="2"/>
  <c r="I246" i="2"/>
  <c r="I521" i="2"/>
  <c r="I281" i="2"/>
  <c r="I180" i="2"/>
  <c r="I515" i="2"/>
  <c r="I79" i="2"/>
  <c r="I254" i="2"/>
  <c r="I194" i="2"/>
  <c r="I507" i="2"/>
  <c r="I359" i="2"/>
  <c r="I495" i="2"/>
  <c r="I343" i="2"/>
  <c r="I50" i="2"/>
  <c r="I245" i="2"/>
  <c r="I279" i="2"/>
  <c r="I60" i="2"/>
  <c r="I520" i="2"/>
  <c r="I276" i="2"/>
  <c r="I274" i="2"/>
  <c r="I541" i="2"/>
  <c r="I273" i="2"/>
  <c r="I413" i="2"/>
  <c r="I104" i="2"/>
  <c r="I354" i="2"/>
  <c r="I484" i="2"/>
  <c r="I428" i="2"/>
  <c r="I466" i="2"/>
  <c r="I237" i="2"/>
  <c r="I249" i="2"/>
  <c r="I53" i="2"/>
  <c r="I365" i="2"/>
  <c r="I59" i="2"/>
  <c r="I272" i="2"/>
  <c r="I426" i="2"/>
  <c r="I476" i="2"/>
  <c r="I270" i="2"/>
  <c r="I269" i="2"/>
  <c r="I392" i="2"/>
  <c r="I540" i="2"/>
  <c r="I102" i="2"/>
  <c r="I267" i="2"/>
  <c r="I412" i="2"/>
  <c r="I427" i="2"/>
  <c r="I353" i="2"/>
  <c r="I483" i="2"/>
  <c r="I448" i="2"/>
  <c r="I236" i="2"/>
  <c r="I384" i="2"/>
  <c r="I52" i="2"/>
  <c r="I266" i="2"/>
  <c r="I425" i="2"/>
  <c r="I519" i="2"/>
  <c r="I341" i="2"/>
  <c r="I264" i="2"/>
  <c r="I8" i="2"/>
  <c r="I539" i="2"/>
  <c r="I100" i="2"/>
  <c r="I263" i="2"/>
  <c r="I411" i="2"/>
  <c r="I99" i="2"/>
  <c r="I352" i="2"/>
  <c r="I447" i="2"/>
  <c r="I502" i="2"/>
  <c r="I465" i="2"/>
  <c r="I235" i="2"/>
  <c r="I98" i="2"/>
  <c r="I369" i="2"/>
  <c r="I399" i="2"/>
  <c r="I95" i="2"/>
  <c r="I368" i="2"/>
  <c r="I93" i="2"/>
  <c r="I20" i="2"/>
  <c r="I480" i="2"/>
  <c r="I398" i="2"/>
  <c r="I481" i="2"/>
  <c r="I259" i="2"/>
  <c r="I537" i="2"/>
  <c r="I181" i="2"/>
  <c r="I367" i="2"/>
  <c r="I91" i="2"/>
  <c r="H383" i="2"/>
  <c r="H407" i="2"/>
  <c r="H72" i="2"/>
  <c r="H475" i="2"/>
  <c r="H131" i="2"/>
  <c r="H338" i="2"/>
  <c r="H479" i="2"/>
  <c r="H545" i="2"/>
  <c r="H141" i="2"/>
  <c r="H129" i="2"/>
  <c r="H377" i="2"/>
  <c r="H445" i="2"/>
  <c r="H337" i="2"/>
  <c r="H7" i="2"/>
  <c r="H128" i="2"/>
  <c r="H90" i="2"/>
  <c r="H18" i="2"/>
  <c r="H17" i="2"/>
  <c r="H396" i="2"/>
  <c r="H406" i="2"/>
  <c r="H71" i="2"/>
  <c r="H474" i="2"/>
  <c r="H127" i="2"/>
  <c r="H478" i="2"/>
  <c r="H544" i="2"/>
  <c r="H336" i="2"/>
  <c r="H140" i="2"/>
  <c r="H125" i="2"/>
  <c r="H376" i="2"/>
  <c r="H440" i="2"/>
  <c r="H335" i="2"/>
  <c r="H6" i="2"/>
  <c r="H385" i="2"/>
  <c r="H124" i="2"/>
  <c r="H70" i="2"/>
  <c r="H473" i="2"/>
  <c r="H531" i="2"/>
  <c r="H123" i="2"/>
  <c r="H122" i="2"/>
  <c r="H77" i="2"/>
  <c r="H4" i="2"/>
  <c r="H477" i="2"/>
  <c r="H222" i="2"/>
  <c r="H120" i="2"/>
  <c r="H231" i="2"/>
  <c r="H375" i="2"/>
  <c r="H436" i="2"/>
  <c r="H357" i="2"/>
  <c r="H333" i="2"/>
  <c r="H119" i="2"/>
  <c r="H395" i="2"/>
  <c r="H243" i="2"/>
  <c r="H332" i="2"/>
  <c r="H44" i="2"/>
  <c r="H69" i="2"/>
  <c r="H64" i="2"/>
  <c r="H330" i="2"/>
  <c r="H189" i="2"/>
  <c r="H329" i="2"/>
  <c r="H328" i="2"/>
  <c r="H394" i="2"/>
  <c r="H351" i="2"/>
  <c r="H454" i="2"/>
  <c r="H118" i="2"/>
  <c r="H242" i="2"/>
  <c r="H326" i="2"/>
  <c r="H325" i="2"/>
  <c r="H68" i="2"/>
  <c r="H324" i="2"/>
  <c r="H188" i="2"/>
  <c r="H323" i="2"/>
  <c r="H322" i="2"/>
  <c r="H393" i="2"/>
  <c r="H148" i="2"/>
  <c r="H494" i="2"/>
  <c r="H504" i="2"/>
  <c r="H453" i="2"/>
  <c r="H321" i="2"/>
  <c r="H116" i="2"/>
  <c r="H241" i="2"/>
  <c r="H176" i="2"/>
  <c r="H319" i="2"/>
  <c r="H43" i="2"/>
  <c r="H318" i="2"/>
  <c r="H67" i="2"/>
  <c r="H63" i="2"/>
  <c r="H317" i="2"/>
  <c r="H187" i="2"/>
  <c r="H316" i="2"/>
  <c r="H391" i="2"/>
  <c r="H147" i="2"/>
  <c r="H12" i="2"/>
  <c r="H350" i="2"/>
  <c r="H503" i="2"/>
  <c r="H452" i="2"/>
  <c r="H315" i="2"/>
  <c r="H115" i="2"/>
  <c r="H114" i="2"/>
  <c r="H46" i="2"/>
  <c r="H214" i="2"/>
  <c r="H390" i="2"/>
  <c r="H348" i="2"/>
  <c r="H175" i="2"/>
  <c r="H174" i="2"/>
  <c r="H382" i="2"/>
  <c r="H381" i="2"/>
  <c r="H75" i="2"/>
  <c r="H213" i="2"/>
  <c r="H312" i="2"/>
  <c r="H230" i="2"/>
  <c r="H514" i="2"/>
  <c r="H310" i="2"/>
  <c r="H89" i="2"/>
  <c r="H422" i="2"/>
  <c r="H435" i="2"/>
  <c r="H543" i="2"/>
  <c r="H309" i="2"/>
  <c r="H308" i="2"/>
  <c r="H405" i="2"/>
  <c r="H135" i="2"/>
  <c r="H217" i="2"/>
  <c r="H62" i="2"/>
  <c r="H307" i="2"/>
  <c r="H493" i="2"/>
  <c r="H173" i="2"/>
  <c r="H112" i="2"/>
  <c r="H212" i="2"/>
  <c r="H57" i="2"/>
  <c r="H389" i="2"/>
  <c r="H347" i="2"/>
  <c r="H536" i="2"/>
  <c r="H172" i="2"/>
  <c r="H184" i="2"/>
  <c r="H467" i="2"/>
  <c r="H171" i="2"/>
  <c r="H74" i="2"/>
  <c r="H78" i="2"/>
  <c r="H229" i="2"/>
  <c r="H186" i="2"/>
  <c r="H470" i="2"/>
  <c r="H221" i="2"/>
  <c r="H304" i="2"/>
  <c r="H88" i="2"/>
  <c r="H434" i="2"/>
  <c r="H433" i="2"/>
  <c r="H542" i="2"/>
  <c r="H303" i="2"/>
  <c r="H302" i="2"/>
  <c r="H404" i="2"/>
  <c r="H134" i="2"/>
  <c r="H216" i="2"/>
  <c r="H489" i="2"/>
  <c r="H457" i="2"/>
  <c r="H301" i="2"/>
  <c r="H170" i="2"/>
  <c r="H111" i="2"/>
  <c r="H239" i="2"/>
  <c r="H388" i="2"/>
  <c r="H300" i="2"/>
  <c r="H346" i="2"/>
  <c r="H42" i="2"/>
  <c r="H169" i="2"/>
  <c r="H379" i="2"/>
  <c r="H73" i="2"/>
  <c r="H139" i="2"/>
  <c r="H228" i="2"/>
  <c r="H185" i="2"/>
  <c r="H469" i="2"/>
  <c r="H513" i="2"/>
  <c r="H298" i="2"/>
  <c r="H223" i="2"/>
  <c r="H432" i="2"/>
  <c r="H87" i="2"/>
  <c r="H431" i="2"/>
  <c r="H297" i="2"/>
  <c r="H403" i="2"/>
  <c r="H133" i="2"/>
  <c r="H224" i="2"/>
  <c r="H61" i="2"/>
  <c r="H456" i="2"/>
  <c r="H296" i="2"/>
  <c r="H492" i="2"/>
  <c r="H168" i="2"/>
  <c r="H110" i="2"/>
  <c r="H295" i="2"/>
  <c r="H421" i="2"/>
  <c r="H420" i="2"/>
  <c r="H419" i="2"/>
  <c r="H463" i="2"/>
  <c r="H525" i="2"/>
  <c r="H468" i="2"/>
  <c r="H11" i="2"/>
  <c r="H294" i="2"/>
  <c r="H138" i="2"/>
  <c r="H56" i="2"/>
  <c r="H472" i="2"/>
  <c r="H232" i="2"/>
  <c r="H144" i="2"/>
  <c r="H39" i="2"/>
  <c r="H167" i="2"/>
  <c r="H498" i="2"/>
  <c r="H220" i="2"/>
  <c r="H244" i="2"/>
  <c r="H41" i="2"/>
  <c r="H248" i="2"/>
  <c r="H462" i="2"/>
  <c r="H397" i="2"/>
  <c r="H511" i="2"/>
  <c r="H528" i="2"/>
  <c r="H293" i="2"/>
  <c r="H292" i="2"/>
  <c r="H418" i="2"/>
  <c r="H417" i="2"/>
  <c r="H430" i="2"/>
  <c r="H524" i="2"/>
  <c r="H451" i="2"/>
  <c r="H10" i="2"/>
  <c r="H291" i="2"/>
  <c r="H38" i="2"/>
  <c r="H166" i="2"/>
  <c r="H486" i="2"/>
  <c r="H497" i="2"/>
  <c r="H219" i="2"/>
  <c r="H40" i="2"/>
  <c r="H461" i="2"/>
  <c r="H510" i="2"/>
  <c r="H501" i="2"/>
  <c r="H290" i="2"/>
  <c r="H499" i="2"/>
  <c r="H86" i="2"/>
  <c r="H210" i="2"/>
  <c r="H527" i="2"/>
  <c r="H509" i="2"/>
  <c r="H215" i="2"/>
  <c r="H218" i="2"/>
  <c r="H496" i="2"/>
  <c r="H37" i="2"/>
  <c r="H165" i="2"/>
  <c r="H142" i="2"/>
  <c r="H500" i="2"/>
  <c r="H250" i="2"/>
  <c r="H471" i="2"/>
  <c r="H55" i="2"/>
  <c r="H45" i="2"/>
  <c r="H136" i="2"/>
  <c r="H9" i="2"/>
  <c r="H288" i="2"/>
  <c r="H450" i="2"/>
  <c r="H523" i="2"/>
  <c r="H459" i="2"/>
  <c r="H416" i="2"/>
  <c r="H415" i="2"/>
  <c r="H414" i="2"/>
  <c r="H287" i="2"/>
  <c r="H286" i="2"/>
  <c r="H82" i="2"/>
  <c r="H30" i="2"/>
  <c r="H202" i="2"/>
  <c r="H285" i="2"/>
  <c r="H284" i="2"/>
  <c r="H516" i="2"/>
  <c r="H85" i="2"/>
  <c r="H81" i="2"/>
  <c r="H201" i="2"/>
  <c r="H356" i="2"/>
  <c r="H362" i="2"/>
  <c r="H109" i="2"/>
  <c r="H164" i="2"/>
  <c r="H209" i="2"/>
  <c r="H163" i="2"/>
  <c r="H345" i="2"/>
  <c r="H361" i="2"/>
  <c r="H199" i="2"/>
  <c r="H198" i="2"/>
  <c r="H247" i="2"/>
  <c r="H283" i="2"/>
  <c r="H25" i="2"/>
  <c r="H29" i="2"/>
  <c r="H35" i="2"/>
  <c r="H522" i="2"/>
  <c r="H282" i="2"/>
  <c r="H84" i="2"/>
  <c r="H80" i="2"/>
  <c r="H65" i="2"/>
  <c r="H255" i="2"/>
  <c r="H197" i="2"/>
  <c r="H508" i="2"/>
  <c r="H402" i="2"/>
  <c r="H360" i="2"/>
  <c r="H108" i="2"/>
  <c r="H161" i="2"/>
  <c r="H208" i="2"/>
  <c r="H207" i="2"/>
  <c r="H160" i="2"/>
  <c r="H344" i="2"/>
  <c r="H364" i="2"/>
  <c r="H51" i="2"/>
  <c r="H246" i="2"/>
  <c r="H34" i="2"/>
  <c r="H28" i="2"/>
  <c r="H195" i="2"/>
  <c r="H521" i="2"/>
  <c r="H281" i="2"/>
  <c r="H180" i="2"/>
  <c r="H280" i="2"/>
  <c r="H515" i="2"/>
  <c r="H83" i="2"/>
  <c r="H79" i="2"/>
  <c r="H254" i="2"/>
  <c r="H194" i="2"/>
  <c r="H192" i="2"/>
  <c r="H355" i="2"/>
  <c r="H507" i="2"/>
  <c r="H359" i="2"/>
  <c r="H107" i="2"/>
  <c r="H158" i="2"/>
  <c r="H157" i="2"/>
  <c r="H206" i="2"/>
  <c r="H205" i="2"/>
  <c r="H156" i="2"/>
  <c r="H495" i="2"/>
  <c r="H343" i="2"/>
  <c r="H363" i="2"/>
  <c r="H50" i="2"/>
  <c r="H155" i="2"/>
  <c r="H191" i="2"/>
  <c r="H245" i="2"/>
  <c r="H106" i="2"/>
  <c r="H279" i="2"/>
  <c r="H60" i="2"/>
  <c r="H520" i="2"/>
  <c r="H277" i="2"/>
  <c r="H276" i="2"/>
  <c r="H274" i="2"/>
  <c r="H512" i="2"/>
  <c r="H105" i="2"/>
  <c r="H190" i="2"/>
  <c r="H541" i="2"/>
  <c r="H27" i="2"/>
  <c r="H273" i="2"/>
  <c r="H413" i="2"/>
  <c r="H104" i="2"/>
  <c r="H429" i="2"/>
  <c r="H374" i="2"/>
  <c r="H354" i="2"/>
  <c r="H484" i="2"/>
  <c r="H428" i="2"/>
  <c r="H371" i="2"/>
  <c r="H466" i="2"/>
  <c r="H237" i="2"/>
  <c r="H249" i="2"/>
  <c r="H53" i="2"/>
  <c r="H103" i="2"/>
  <c r="H59" i="2"/>
  <c r="H272" i="2"/>
  <c r="H426" i="2"/>
  <c r="H476" i="2"/>
  <c r="H271" i="2"/>
  <c r="H270" i="2"/>
  <c r="H269" i="2"/>
  <c r="H392" i="2"/>
  <c r="H540" i="2"/>
  <c r="H458" i="2"/>
  <c r="H102" i="2"/>
  <c r="H26" i="2"/>
  <c r="H267" i="2"/>
  <c r="H412" i="2"/>
  <c r="H427" i="2"/>
  <c r="H373" i="2"/>
  <c r="H353" i="2"/>
  <c r="H483" i="2"/>
  <c r="H448" i="2"/>
  <c r="H236" i="2"/>
  <c r="H384" i="2"/>
  <c r="H52" i="2"/>
  <c r="H101" i="2"/>
  <c r="H19" i="2"/>
  <c r="H266" i="2"/>
  <c r="H58" i="2"/>
  <c r="H425" i="2"/>
  <c r="H519" i="2"/>
  <c r="H342" i="2"/>
  <c r="H341" i="2"/>
  <c r="H265" i="2"/>
  <c r="H8" i="2"/>
  <c r="H539" i="2"/>
  <c r="H100" i="2"/>
  <c r="H263" i="2"/>
  <c r="H411" i="2"/>
  <c r="H99" i="2"/>
  <c r="H352" i="2"/>
  <c r="H482" i="2"/>
  <c r="H447" i="2"/>
  <c r="H502" i="2"/>
  <c r="H370" i="2"/>
  <c r="H465" i="2"/>
  <c r="H235" i="2"/>
  <c r="H204" i="2"/>
  <c r="H98" i="2"/>
  <c r="H154" i="2"/>
  <c r="H97" i="2"/>
  <c r="H183" i="2"/>
  <c r="H369" i="2"/>
  <c r="H491" i="2"/>
  <c r="H146" i="2"/>
  <c r="H96" i="2"/>
  <c r="H449" i="2"/>
  <c r="H153" i="2"/>
  <c r="H203" i="2"/>
  <c r="H399" i="2"/>
  <c r="H95" i="2"/>
  <c r="H152" i="2"/>
  <c r="H94" i="2"/>
  <c r="H401" i="2"/>
  <c r="H182" i="2"/>
  <c r="H368" i="2"/>
  <c r="H490" i="2"/>
  <c r="H145" i="2"/>
  <c r="H93" i="2"/>
  <c r="H20" i="2"/>
  <c r="H151" i="2"/>
  <c r="H234" i="2"/>
  <c r="H480" i="2"/>
  <c r="H398" i="2"/>
  <c r="H150" i="2"/>
  <c r="H481" i="2"/>
  <c r="H259" i="2"/>
  <c r="H537" i="2"/>
  <c r="H92" i="2"/>
  <c r="H400" i="2"/>
  <c r="H181" i="2"/>
  <c r="H358" i="2"/>
  <c r="H367" i="2"/>
  <c r="H13" i="2"/>
  <c r="H256" i="2"/>
  <c r="H526" i="2"/>
  <c r="H91" i="2"/>
  <c r="H149" i="2"/>
  <c r="H233" i="2"/>
  <c r="R3" i="2" l="1"/>
  <c r="S3" i="2" l="1"/>
  <c r="Q3" i="2"/>
  <c r="P3" i="2"/>
  <c r="O3" i="2"/>
  <c r="N3" i="2"/>
  <c r="M3" i="2"/>
</calcChain>
</file>

<file path=xl/sharedStrings.xml><?xml version="1.0" encoding="utf-8"?>
<sst xmlns="http://schemas.openxmlformats.org/spreadsheetml/2006/main" count="11257" uniqueCount="1438">
  <si>
    <t>Blast-Hit-Accession</t>
  </si>
  <si>
    <t>Human-Readable-Description</t>
  </si>
  <si>
    <t>Peptidyl-prolyl cis-trans isomerase</t>
  </si>
  <si>
    <t>Kinase family protein</t>
  </si>
  <si>
    <t>RING/U-box superfamily protein</t>
  </si>
  <si>
    <t>tr|I3TAJ6|I3TAJ6_MEDTR</t>
  </si>
  <si>
    <t>NAD(P)-binding rossmann-fold protein</t>
  </si>
  <si>
    <t>sp|P93194|RPK1_IPONI</t>
  </si>
  <si>
    <t>Receptor-like protein kinase</t>
  </si>
  <si>
    <t>WRKY transcription factor</t>
  </si>
  <si>
    <t>Aminotransferase</t>
  </si>
  <si>
    <t>Mitogen-activated protein kinase</t>
  </si>
  <si>
    <t>TraesCS1A01G096600</t>
  </si>
  <si>
    <t>tr|I7D3E0|I7D3E0_HORVU</t>
  </si>
  <si>
    <t>Ethylene receptor</t>
  </si>
  <si>
    <t>E3 ubiquitin-protein ligase</t>
  </si>
  <si>
    <t>TraesCS1A01G118400</t>
  </si>
  <si>
    <t>tr|W4ZYX4|W4ZYX4_WHEAT</t>
  </si>
  <si>
    <t>Auxin-responsive protein</t>
  </si>
  <si>
    <t>Mitochondrial carrier family</t>
  </si>
  <si>
    <t>TraesCS1A01G156600</t>
  </si>
  <si>
    <t>tr|A0A1D5RTK2|A0A1D5RTK2_WHEAT</t>
  </si>
  <si>
    <t>Auxin response factor</t>
  </si>
  <si>
    <t>TraesCS1A01G178700</t>
  </si>
  <si>
    <t>tr|A0A0K9PGR6|A0A0K9PGR6_ZOSMR</t>
  </si>
  <si>
    <t>SAUR-like auxin-responsive protein family</t>
  </si>
  <si>
    <t>Nucleoside diphosphate kinase</t>
  </si>
  <si>
    <t>TraesCS1A01G218100</t>
  </si>
  <si>
    <t>tr|B9SZQ5|B9SZQ5_RICCO</t>
  </si>
  <si>
    <t>Ethylene-responsive transcription factor, putative</t>
  </si>
  <si>
    <t>TraesCS1A01G231200</t>
  </si>
  <si>
    <t>tr|W9S5U5|W9S5U5_9ROSA</t>
  </si>
  <si>
    <t>Ethylene-responsive transcription factor</t>
  </si>
  <si>
    <t>TraesCS1A01G232500</t>
  </si>
  <si>
    <t>sp|A5FMZ7|RL2_FLAJ1</t>
  </si>
  <si>
    <t>50S ribosomal protein L2</t>
  </si>
  <si>
    <t>TraesCS1A01G255100</t>
  </si>
  <si>
    <t>tr|A0A142IKH6|A0A142IKH6_9ASPA</t>
  </si>
  <si>
    <t>Gibberellin receptor GID1a</t>
  </si>
  <si>
    <t>TraesCS1A01G263600</t>
  </si>
  <si>
    <t>tr|M8CC01|M8CC01_AEGTA</t>
  </si>
  <si>
    <t>Gibberellin 20 oxidase 2</t>
  </si>
  <si>
    <t>Protein kinase family protein</t>
  </si>
  <si>
    <t>TraesCS1A01G279100</t>
  </si>
  <si>
    <t>tr|E2I9G3|E2I9G3_WHEAT</t>
  </si>
  <si>
    <t>Coronatine insensitive 1-like protein</t>
  </si>
  <si>
    <t>Non-specific lipid-transfer protein</t>
  </si>
  <si>
    <t>TraesCS1A01G314300</t>
  </si>
  <si>
    <t>tr|D3YE95|D3YE95_WHEAT</t>
  </si>
  <si>
    <t>Ethylene-responsive factor-like transcription factor</t>
  </si>
  <si>
    <t>TraesCS1A01G320200</t>
  </si>
  <si>
    <t>tr|B9SG28|B9SG28_RICCO</t>
  </si>
  <si>
    <t>Indole-3-acetic acid-amido synthetase GH3.3, putative</t>
  </si>
  <si>
    <t>TraesCS1A01G334900</t>
  </si>
  <si>
    <t>tr|A0A1D5SYL7|A0A1D5SYL7_WHEAT</t>
  </si>
  <si>
    <t>TraesCS1A01G358100</t>
  </si>
  <si>
    <t>tr|A0A059Q168|A0A059Q168_9POAL</t>
  </si>
  <si>
    <t>TraesCS1A01G370400</t>
  </si>
  <si>
    <t>tr|W9RY64|W9RY64_9ROSA</t>
  </si>
  <si>
    <t>TraesCS1A01G370600</t>
  </si>
  <si>
    <t>TraesCS1A01G370700</t>
  </si>
  <si>
    <t>tr|W9R7J5|W9R7J5_9ROSA</t>
  </si>
  <si>
    <t>TraesCS1A01G389500</t>
  </si>
  <si>
    <t>tr|A0A0B2PZM4|A0A0B2PZM4_GLYSO</t>
  </si>
  <si>
    <t>Ninja-family protein</t>
  </si>
  <si>
    <t>TraesCS1A01G390200</t>
  </si>
  <si>
    <t>tr|A0A1D6RD34|A0A1D6RD34_WHEAT</t>
  </si>
  <si>
    <t>TraesCS1A01G425100</t>
  </si>
  <si>
    <t>tr|A0A1J3HS24|A0A1J3HS24_NOCCA</t>
  </si>
  <si>
    <t>Indole-3-acetic acid-amido synthetase GH3.3</t>
  </si>
  <si>
    <t>ABC transporter ATP-binding protein</t>
  </si>
  <si>
    <t>TraesCS1B01G037100</t>
  </si>
  <si>
    <t>TraesCS1B01G127000</t>
  </si>
  <si>
    <t>TraesCS1B01G138100</t>
  </si>
  <si>
    <t>TraesCS1B01G145800</t>
  </si>
  <si>
    <t>tr|G7KT83|G7KT83_MEDTR</t>
  </si>
  <si>
    <t>Abscisic acid receptor</t>
  </si>
  <si>
    <t>TraesCS1B01G173700</t>
  </si>
  <si>
    <t>tr|A0A1D5SG93|A0A1D5SG93_WHEAT</t>
  </si>
  <si>
    <t>TraesCS1B01G201800</t>
  </si>
  <si>
    <t>tr|D7LF78|D7LF78_ARALL</t>
  </si>
  <si>
    <t>Auxin-responsive family protein</t>
  </si>
  <si>
    <t>Lipoxygenase</t>
  </si>
  <si>
    <t>TraesCS1B01G231500</t>
  </si>
  <si>
    <t>TraesCS1B01G245700</t>
  </si>
  <si>
    <t>sp|Q6L589|NRH1_ORYSJ</t>
  </si>
  <si>
    <t>NRR repressor homolog 1</t>
  </si>
  <si>
    <t>TraesCS1B01G265900</t>
  </si>
  <si>
    <t>TraesCS1B01G288100</t>
  </si>
  <si>
    <t>TraesCS1B01G326600</t>
  </si>
  <si>
    <t>TraesCS1B01G332400</t>
  </si>
  <si>
    <t>TraesCS1B01G347900</t>
  </si>
  <si>
    <t>tr|A0A1D6D994|A0A1D6D994_WHEAT</t>
  </si>
  <si>
    <t>TraesCS1B01G418400</t>
  </si>
  <si>
    <t>tr|A0A1D5SA20|A0A1D5SA20_WHEAT</t>
  </si>
  <si>
    <t>TraesCS1B01G424700</t>
  </si>
  <si>
    <t>tr|A0A1D6D8H9|A0A1D6D8H9_WHEAT</t>
  </si>
  <si>
    <t>TraesCS1B01G459500</t>
  </si>
  <si>
    <t>TraesCS1B01G471300</t>
  </si>
  <si>
    <t>tr|A0A1D5SDT2|A0A1D5SDT2_WHEAT</t>
  </si>
  <si>
    <t>Cytokinin riboside 5'-monophosphate phosphoribohydrolase</t>
  </si>
  <si>
    <t>12-oxophytodienoate reductase-like protein</t>
  </si>
  <si>
    <t>TraesCS1D01G119500</t>
  </si>
  <si>
    <t>TraesCS1D01G136400</t>
  </si>
  <si>
    <t>tr|D7M4D4|D7M4D4_ARALL</t>
  </si>
  <si>
    <t>TraesCS1D01G155100</t>
  </si>
  <si>
    <t>tr|A0A1D5SVE0|A0A1D5SVE0_WHEAT</t>
  </si>
  <si>
    <t>TraesCS1D01G177000</t>
  </si>
  <si>
    <t>TraesCS1D01G233800</t>
  </si>
  <si>
    <t>TraesCS1D01G254500</t>
  </si>
  <si>
    <t>TraesCS1D01G278400</t>
  </si>
  <si>
    <t>TraesCS1D01G314800</t>
  </si>
  <si>
    <t>TraesCS1D01G337400</t>
  </si>
  <si>
    <t>TraesCS1D01G363300</t>
  </si>
  <si>
    <t>TraesCS1D01G376500</t>
  </si>
  <si>
    <t>TraesCS1D01G376600</t>
  </si>
  <si>
    <t>TraesCS1D01G376700</t>
  </si>
  <si>
    <t>TraesCS1D01G398400</t>
  </si>
  <si>
    <t>tr|A0A1D5SY17|A0A1D5SY17_WHEAT</t>
  </si>
  <si>
    <t>TraesCS1D01G404400</t>
  </si>
  <si>
    <t>tr|A0A1D6RG09|A0A1D6RG09_WHEAT</t>
  </si>
  <si>
    <t>TraesCS1D01G444500</t>
  </si>
  <si>
    <t>tr|A0A1D5SRC6|A0A1D5SRC6_WHEAT</t>
  </si>
  <si>
    <t>TraesCS2A01G000200</t>
  </si>
  <si>
    <t>tr|I7C6C7|I7C6C7_HORVU</t>
  </si>
  <si>
    <t>tr|G7K3S2|G7K3S2_MEDTR</t>
  </si>
  <si>
    <t>Glutamyl-tRNA(Gln) amidotransferase subunit A</t>
  </si>
  <si>
    <t>TraesCS2A01G080000</t>
  </si>
  <si>
    <t>tr|A0A118JWF2|A0A118JWF2_CYNCS</t>
  </si>
  <si>
    <t>LPS-induced tumor necrosis factor alpha factor</t>
  </si>
  <si>
    <t>TraesCS2A01G099900</t>
  </si>
  <si>
    <t>tr|U5NIQ9|U5NIQ9_9POAL</t>
  </si>
  <si>
    <t>Ethylene insensitive 3</t>
  </si>
  <si>
    <t>Short-chain dehydrogenase/reductase</t>
  </si>
  <si>
    <t>TraesCS2A01G143100</t>
  </si>
  <si>
    <t>TraesCS2A01G155500</t>
  </si>
  <si>
    <t>tr|B9S913|B9S913_RICCO</t>
  </si>
  <si>
    <t>Protein kinase, putative</t>
  </si>
  <si>
    <t>TraesCS2A01G169300</t>
  </si>
  <si>
    <t>tr|A0A167V6B7|A0A167V6B7_CAMSI</t>
  </si>
  <si>
    <t>Jasmonate-zim-domain protein</t>
  </si>
  <si>
    <t>TraesCS2A01G176300</t>
  </si>
  <si>
    <t>tr|A0A199VX64|A0A199VX64_ANACO</t>
  </si>
  <si>
    <t>TraesCS2A01G183900</t>
  </si>
  <si>
    <t>tr|D7LEP8|D7LEP8_ARALL</t>
  </si>
  <si>
    <t>GH3.3</t>
  </si>
  <si>
    <t>TraesCS2A01G283000</t>
  </si>
  <si>
    <t>tr|A0A067JLY7|A0A067JLY7_JATCU</t>
  </si>
  <si>
    <t>TraesCS2A01G286700</t>
  </si>
  <si>
    <t>tr|A0A0X8VYK1|A0A0X8VYK1_ELECO</t>
  </si>
  <si>
    <t>Jasmonate ZIM domain protein</t>
  </si>
  <si>
    <t>TraesCS2A01G288000</t>
  </si>
  <si>
    <t>tr|W9S0J2|W9S0J2_9ROSA</t>
  </si>
  <si>
    <t>TraesCS2A01G309300</t>
  </si>
  <si>
    <t>tr|W5AUH3|W5AUH3_WHEAT</t>
  </si>
  <si>
    <t>tr|G7K3S4|G7K3S4_MEDTR</t>
  </si>
  <si>
    <t>tr|F2D9T9|F2D9T9_HORVV</t>
  </si>
  <si>
    <t>TraesCS2A01G317000</t>
  </si>
  <si>
    <t>tr|W5ASU4|W5ASU4_WHEAT</t>
  </si>
  <si>
    <t>Zeaxanthin epoxidase, chloroplastic</t>
  </si>
  <si>
    <t>Indole-3-glycerol phosphate synthase</t>
  </si>
  <si>
    <t>Anthranilate synthase</t>
  </si>
  <si>
    <t>tr|A0A0K9P1A0|A0A0K9P1A0_ZOSMR</t>
  </si>
  <si>
    <t>Multiprotein-bridging factor, putative</t>
  </si>
  <si>
    <t>TraesCS2A01G396400</t>
  </si>
  <si>
    <t>tr|M8ATA9|M8ATA9_AEGTA</t>
  </si>
  <si>
    <t>1-aminocyclopropane-1-carboxylate synthase</t>
  </si>
  <si>
    <t>TraesCS2A01G417100</t>
  </si>
  <si>
    <t>tr|M4WYH8|M4WYH8_GOSHI</t>
  </si>
  <si>
    <t>TraesCS2A01G417200</t>
  </si>
  <si>
    <t>TraesCS2A01G417300</t>
  </si>
  <si>
    <t>tr|B9R9Y8|B9R9Y8_RICCO</t>
  </si>
  <si>
    <t>TraesCS2A01G427700</t>
  </si>
  <si>
    <t>tr|B9SYX3|B9SYX3_RICCO</t>
  </si>
  <si>
    <t>TraesCS2A01G430400</t>
  </si>
  <si>
    <t>tr|G7I561|G7I561_MEDTR</t>
  </si>
  <si>
    <t>SAUR-like auxin-responsive family protein</t>
  </si>
  <si>
    <t>TraesCS2A01G506500</t>
  </si>
  <si>
    <t>tr|A0A097GTY5|A0A097GTY5_PHALU</t>
  </si>
  <si>
    <t>Jasmonate ZIM domain-containing protein</t>
  </si>
  <si>
    <t>TraesCS2A01G514200</t>
  </si>
  <si>
    <t>tr|A0A0K9PY64|A0A0K9PY64_ZOSMR</t>
  </si>
  <si>
    <t>AP2-like ethylene-responsive transcription factor</t>
  </si>
  <si>
    <t>TraesCS2A01G514300</t>
  </si>
  <si>
    <t>tr|A0A0K9PHY5|A0A0K9PHY5_ZOSMR</t>
  </si>
  <si>
    <t>TraesCS2A01G521400</t>
  </si>
  <si>
    <t>Calreticulin</t>
  </si>
  <si>
    <t>TraesCS2A01G547800</t>
  </si>
  <si>
    <t>tr|A0A1D5T972|A0A1D5T972_WHEAT</t>
  </si>
  <si>
    <t>TraesCS2A01G553500</t>
  </si>
  <si>
    <t>tr|A0A1D6RJH3|A0A1D6RJH3_WHEAT</t>
  </si>
  <si>
    <t>Anamorsin homolog</t>
  </si>
  <si>
    <t>TraesCS2A01G562400</t>
  </si>
  <si>
    <t>tr|A0A151U4X2|A0A151U4X2_CAJCA</t>
  </si>
  <si>
    <t>TraesCS2A01G563400</t>
  </si>
  <si>
    <t>TraesCS2B01G023800</t>
  </si>
  <si>
    <t>TraesCS2B01G105300</t>
  </si>
  <si>
    <t>tr|G7JKP6|G7JKP6_MEDTR</t>
  </si>
  <si>
    <t>TraesCS2B01G116900</t>
  </si>
  <si>
    <t>TraesCS2B01G195600</t>
  </si>
  <si>
    <t>TraesCS2B01G202700</t>
  </si>
  <si>
    <t>TraesCS2B01G210600</t>
  </si>
  <si>
    <t>tr|A0A178VZK7|A0A178VZK7_ARATH</t>
  </si>
  <si>
    <t>TraesCS2B01G211100</t>
  </si>
  <si>
    <t>tr|A0A118JUY0|A0A118JUY0_CYNCS</t>
  </si>
  <si>
    <t>Gibberellin regulated protein</t>
  </si>
  <si>
    <t>tr|N1QS75|N1QS75_AEGTA</t>
  </si>
  <si>
    <t>TraesCS2B01G264000</t>
  </si>
  <si>
    <t>tr|G7IP70|G7IP70_MEDTR</t>
  </si>
  <si>
    <t>Jasmonate zim-domain protein</t>
  </si>
  <si>
    <t>TraesCS2B01G303600</t>
  </si>
  <si>
    <t>TraesCS2B01G304800</t>
  </si>
  <si>
    <t>TraesCS2B01G317600</t>
  </si>
  <si>
    <t>tr|D1MEA2|D1MEA2_MUSAC</t>
  </si>
  <si>
    <t>Abscisic stress ripening</t>
  </si>
  <si>
    <t>TraesCS2B01G326400</t>
  </si>
  <si>
    <t>tr|W5B7B1|W5B7B1_WHEAT</t>
  </si>
  <si>
    <t>TraesCS2B01G333600</t>
  </si>
  <si>
    <t>TraesCS2B01G335400</t>
  </si>
  <si>
    <t>tr|A0A1D5U403|A0A1D5U403_WHEAT</t>
  </si>
  <si>
    <t>TraesCS2B01G392100</t>
  </si>
  <si>
    <t>tr|A0A0K9PHT2|A0A0K9PHT2_ZOSMR</t>
  </si>
  <si>
    <t>GRAM domain-containing protein / ABA-responsive</t>
  </si>
  <si>
    <t>TraesCS2B01G392300</t>
  </si>
  <si>
    <t>tr|A0A061E267|A0A061E267_THECC</t>
  </si>
  <si>
    <t>GRAM domain-containing protein / ABA-responsive protein-related</t>
  </si>
  <si>
    <t>TraesCS2B01G436100</t>
  </si>
  <si>
    <t>TraesCS2B01G436200</t>
  </si>
  <si>
    <t>TraesCS2B01G436300</t>
  </si>
  <si>
    <t>tr|A0A0U1Z1U9|A0A0U1Z1U9_LYCCN</t>
  </si>
  <si>
    <t>TraesCS2B01G448100</t>
  </si>
  <si>
    <t>tr|V5QP37|V5QP37_MOMCH</t>
  </si>
  <si>
    <t>TraesCS2B01G525500</t>
  </si>
  <si>
    <t>tr|N1QUH4|N1QUH4_AEGTA</t>
  </si>
  <si>
    <t>Molybdopterin biosynthesis protein CNX1</t>
  </si>
  <si>
    <t>TraesCS2B01G534800</t>
  </si>
  <si>
    <t>TraesCS2B01G542300</t>
  </si>
  <si>
    <t>TraesCS2B01G542400</t>
  </si>
  <si>
    <t>TraesCS2B01G570800</t>
  </si>
  <si>
    <t>tr|Q941N2|Q941N2_SOLTU</t>
  </si>
  <si>
    <t>Gibberellin 3-beta-hydroxylase 2</t>
  </si>
  <si>
    <t>TraesCS2B01G570900</t>
  </si>
  <si>
    <t>TraesCS2B01G578500</t>
  </si>
  <si>
    <t>tr|A0A1D5TU40|A0A1D5TU40_WHEAT</t>
  </si>
  <si>
    <t>TraesCS2B01G585100</t>
  </si>
  <si>
    <t>tr|W5BH20|W5BH20_WHEAT</t>
  </si>
  <si>
    <t>TraesCS2B01G592500</t>
  </si>
  <si>
    <t>tr|A0A0K9NH62|A0A0K9NH62_ZOSMR</t>
  </si>
  <si>
    <t>Ethylene-overproduction protein 1</t>
  </si>
  <si>
    <t>TraesCS2D01G000500</t>
  </si>
  <si>
    <t>TraesCS2D01G028600</t>
  </si>
  <si>
    <t>TraesCS2D01G077300</t>
  </si>
  <si>
    <t>TraesCS2D01G087500</t>
  </si>
  <si>
    <t>TraesCS2D01G099400</t>
  </si>
  <si>
    <t>TraesCS2D01G146400</t>
  </si>
  <si>
    <t>TraesCS2D01G176800</t>
  </si>
  <si>
    <t>tr|G7IIQ4|G7IIQ4_MEDTR</t>
  </si>
  <si>
    <t>TraesCS2D01G183700</t>
  </si>
  <si>
    <t>TraesCS2D01G191800</t>
  </si>
  <si>
    <t>TraesCS2D01G192300</t>
  </si>
  <si>
    <t>TraesCS2D01G251700</t>
  </si>
  <si>
    <t>TraesCS2D01G281700</t>
  </si>
  <si>
    <t>TraesCS2D01G285300</t>
  </si>
  <si>
    <t>TraesCS2D01G286300</t>
  </si>
  <si>
    <t>TraesCS2D01G300100</t>
  </si>
  <si>
    <t>TraesCS2D01G314900</t>
  </si>
  <si>
    <t>tr|A0A1D5UKJ1|A0A1D5UKJ1_WHEAT</t>
  </si>
  <si>
    <t>TraesCS2D01G371400</t>
  </si>
  <si>
    <t>TraesCS2D01G374600</t>
  </si>
  <si>
    <t>tr|I3VIX8|I3VIX8_HORVV</t>
  </si>
  <si>
    <t>Cytokinin oxidase/dehydrogenase</t>
  </si>
  <si>
    <t>TraesCS2D01G376600</t>
  </si>
  <si>
    <t>tr|K3YQG6|K3YQG6_SETIT</t>
  </si>
  <si>
    <t>TraesCS2D01G390600</t>
  </si>
  <si>
    <t>AT1G03120.1</t>
  </si>
  <si>
    <t>responsive to abscisic acid 28</t>
  </si>
  <si>
    <t>TraesCS2D01G414300</t>
  </si>
  <si>
    <t>TraesCS2D01G414500</t>
  </si>
  <si>
    <t>TraesCS2D01G414600</t>
  </si>
  <si>
    <t>TraesCS2D01G425700</t>
  </si>
  <si>
    <t>TraesCS2D01G428000</t>
  </si>
  <si>
    <t>TraesCS2D01G464400</t>
  </si>
  <si>
    <t>tr|G7JJR7|G7JJR7_MEDTR</t>
  </si>
  <si>
    <t>TraesCS2D01G515800</t>
  </si>
  <si>
    <t>TraesCS2D01G515900</t>
  </si>
  <si>
    <t>TraesCS2D01G548900</t>
  </si>
  <si>
    <t>TraesCS2D01G555000</t>
  </si>
  <si>
    <t>tr|A0A1D5UR98|A0A1D5UR98_WHEAT</t>
  </si>
  <si>
    <t>Pentatricopeptide repeat-containing family protein</t>
  </si>
  <si>
    <t>TraesCS2D01G572000</t>
  </si>
  <si>
    <t>TraesCS3A01G055300</t>
  </si>
  <si>
    <t>tr|A0A061FLR5|A0A061FLR5_THECC</t>
  </si>
  <si>
    <t>Ethylene-dependent gravitropism-deficient and yellow-green-like 2 isoform 2</t>
  </si>
  <si>
    <t>TraesCS3A01G109500</t>
  </si>
  <si>
    <t>tr|D2XV94|D2XV94_BAMOL</t>
  </si>
  <si>
    <t>TraesCS3A01G121300</t>
  </si>
  <si>
    <t>tr|A0A1D5VK13|A0A1D5VK13_WHEAT</t>
  </si>
  <si>
    <t>TraesCS3A01G122400</t>
  </si>
  <si>
    <t>tr|A0A0K9PKZ9|A0A0K9PKZ9_ZOSMR</t>
  </si>
  <si>
    <t>TraesCS3A01G133400</t>
  </si>
  <si>
    <t>tr|Q0ZBL6|Q0ZBL6_9CARY</t>
  </si>
  <si>
    <t>Gibberellin 2-oxidase 2</t>
  </si>
  <si>
    <t>TraesCS3A01G149000</t>
  </si>
  <si>
    <t>tr|A0A061G219|A0A061G219_THECC</t>
  </si>
  <si>
    <t>TraesCS3A01G151100</t>
  </si>
  <si>
    <t>tr|A0A1D5VHR0|A0A1D5VHR0_WHEAT</t>
  </si>
  <si>
    <t>TraesCS3A01G155200</t>
  </si>
  <si>
    <t>tr|A0A1D5VHR7|A0A1D5VHR7_WHEAT</t>
  </si>
  <si>
    <t>TraesCS3A01G211100</t>
  </si>
  <si>
    <t>tr|M7ZK28|M7ZK28_TRIUA</t>
  </si>
  <si>
    <t>TraesCS3A01G251500</t>
  </si>
  <si>
    <t>tr|A0A1D5V487|A0A1D5V487_WHEAT</t>
  </si>
  <si>
    <t>TraesCS3A01G270000</t>
  </si>
  <si>
    <t>tr|A0A1D5VDF2|A0A1D5VDF2_WHEAT</t>
  </si>
  <si>
    <t>TraesCS3A01G276500</t>
  </si>
  <si>
    <t>tr|W5CHN9|W5CHN9_WHEAT</t>
  </si>
  <si>
    <t>TraesCS3A01G292400</t>
  </si>
  <si>
    <t>tr|A0A1D5V911|A0A1D5V911_WHEAT</t>
  </si>
  <si>
    <t>TraesCS3A01G294000</t>
  </si>
  <si>
    <t>tr|F2VSI4|F2VSI4_WHEAT</t>
  </si>
  <si>
    <t>Gibberellin 2-oxidase</t>
  </si>
  <si>
    <t>TraesCS3A01G298800</t>
  </si>
  <si>
    <t>tr|K7V8F5|K7V8F5_MAIZE</t>
  </si>
  <si>
    <t>Regulatory protein NPR1</t>
  </si>
  <si>
    <t>TraesCS3A01G301200</t>
  </si>
  <si>
    <t>TraesCS3A01G311000</t>
  </si>
  <si>
    <t>tr|I3VIX9|I3VIX9_HORVV</t>
  </si>
  <si>
    <t>TraesCS3A01G311100</t>
  </si>
  <si>
    <t>tr|H6TXN8|H6TXN8_WHEAT</t>
  </si>
  <si>
    <t>TraesCS3A01G321100</t>
  </si>
  <si>
    <t>tr|A0A0E3T7B3|A0A0E3T7B3_SECCE</t>
  </si>
  <si>
    <t>TraesCS3A01G328000</t>
  </si>
  <si>
    <t>TraesCS3A01G341400</t>
  </si>
  <si>
    <t>tr|Q5QMK5|Q5QMK5_ORYSJ</t>
  </si>
  <si>
    <t>Auxin efflux carrier family protein-like</t>
  </si>
  <si>
    <t>TraesCS3A01G369200</t>
  </si>
  <si>
    <t>tr|G7L6K2|G7L6K2_MEDTR</t>
  </si>
  <si>
    <t>Auxin influx transporter</t>
  </si>
  <si>
    <t>TraesCS3A01G370000</t>
  </si>
  <si>
    <t>tr|R7W9E5|R7W9E5_AEGTA</t>
  </si>
  <si>
    <t>RNA polymerase II C-terminal domain phosphatase-like protein 2</t>
  </si>
  <si>
    <t>TraesCS3A01G379900</t>
  </si>
  <si>
    <t>tr|W9RA19|W9RA19_9ROSA</t>
  </si>
  <si>
    <t>TraesCS3A01G399000</t>
  </si>
  <si>
    <t>tr|B1NF32|B1NF32_WHEAT</t>
  </si>
  <si>
    <t>TraesCS3A01G404400</t>
  </si>
  <si>
    <t>tr|A0A0K9NXK4|A0A0K9NXK4_ZOSMR</t>
  </si>
  <si>
    <t>TraesCS3A01G411500</t>
  </si>
  <si>
    <t>tr|M8CCZ7|M8CCZ7_AEGTA</t>
  </si>
  <si>
    <t>Jasmonate O-methyltransferase</t>
  </si>
  <si>
    <t>TraesCS3A01G411600</t>
  </si>
  <si>
    <t>tr|M8AMG2|M8AMG2_TRIUA</t>
  </si>
  <si>
    <t>Salicylate O-methyltransferase</t>
  </si>
  <si>
    <t>E3 ubiquitin-protein ligase RGLG2</t>
  </si>
  <si>
    <t>TraesCS3A01G437000</t>
  </si>
  <si>
    <t>tr|I3T7S1|I3T7S1_MEDTR</t>
  </si>
  <si>
    <t>TraesCS3A01G471100</t>
  </si>
  <si>
    <t>tr|M8ACV4|M8ACV4_TRIUA</t>
  </si>
  <si>
    <t>TraesCS3A01G481000</t>
  </si>
  <si>
    <t>tr|I3VIX2|I3VIX2_HORVV</t>
  </si>
  <si>
    <t>TraesCS3A01G509700</t>
  </si>
  <si>
    <t>tr|D2JX49|D2JX49_MUSBA</t>
  </si>
  <si>
    <t>TraesCS3A01G510100</t>
  </si>
  <si>
    <t>tr|A0A059Q2X1|A0A059Q2X1_9POAL</t>
  </si>
  <si>
    <t>Abscisic stress ripening protein</t>
  </si>
  <si>
    <t>TraesCS3B01G067300</t>
  </si>
  <si>
    <t>TraesCS3B01G140700</t>
  </si>
  <si>
    <t>tr|A0A1D5VRY8|A0A1D5VRY8_WHEAT</t>
  </si>
  <si>
    <t>TraesCS3B01G141600</t>
  </si>
  <si>
    <t>TraesCS3B01G161100</t>
  </si>
  <si>
    <t>tr|H6TXN9|H6TXN9_WHEAT</t>
  </si>
  <si>
    <t>TraesCS3B01G166100</t>
  </si>
  <si>
    <t>TraesCS3B01G176200</t>
  </si>
  <si>
    <t>TraesCS3B01G181500</t>
  </si>
  <si>
    <t>tr|A0A077RYD1|A0A077RYD1_WHEAT</t>
  </si>
  <si>
    <t>TraesCS3B01G241600</t>
  </si>
  <si>
    <t>tr|A0A1D5VSR8|A0A1D5VSR8_WHEAT</t>
  </si>
  <si>
    <t>TraesCS3B01G281000</t>
  </si>
  <si>
    <t>tr|W5CRY0|W5CRY0_WHEAT</t>
  </si>
  <si>
    <t>TraesCS3B01G310500</t>
  </si>
  <si>
    <t>tr|W5D6U4|W5D6U4_WHEAT</t>
  </si>
  <si>
    <t>TraesCS3B01G327000</t>
  </si>
  <si>
    <t>tr|A0A1D5VUF6|A0A1D5VUF6_WHEAT</t>
  </si>
  <si>
    <t>TraesCS3B01G328700</t>
  </si>
  <si>
    <t>tr|F2VSI5|F2VSI5_WHEAT</t>
  </si>
  <si>
    <t>TraesCS3B01G335300</t>
  </si>
  <si>
    <t>TraesCS3B01G337700</t>
  </si>
  <si>
    <t>TraesCS3B01G344600</t>
  </si>
  <si>
    <t>TraesCS3B01G357500</t>
  </si>
  <si>
    <t>TraesCS3B01G361500</t>
  </si>
  <si>
    <t>tr|A0A077S438|A0A077S438_WHEAT</t>
  </si>
  <si>
    <t>Auxin efflux carrier component</t>
  </si>
  <si>
    <t>TraesCS3B01G373500</t>
  </si>
  <si>
    <t>TraesCS3B01G401000</t>
  </si>
  <si>
    <t>TraesCS3B01G412500</t>
  </si>
  <si>
    <t>TraesCS3B01G471300</t>
  </si>
  <si>
    <t>tr|Q5WM33|Q5WM33_SOLLC</t>
  </si>
  <si>
    <t>Alpha-dioxygenase 2</t>
  </si>
  <si>
    <t>TraesCS3B01G549200</t>
  </si>
  <si>
    <t>TraesCS3B01G578200</t>
  </si>
  <si>
    <t>TraesCS3B01G578800</t>
  </si>
  <si>
    <t>tr|D2JX38|D2JX38_MUSPR</t>
  </si>
  <si>
    <t>TraesCS3D01G037000</t>
  </si>
  <si>
    <t>tr|A0A061EPF5|A0A061EPF5_THECC</t>
  </si>
  <si>
    <t>Abscisic acid-deficient 4</t>
  </si>
  <si>
    <t>TraesCS3D01G039000</t>
  </si>
  <si>
    <t>tr|W9RJN8|W9RJN8_9ROSA</t>
  </si>
  <si>
    <t>TraesCS3D01G054600</t>
  </si>
  <si>
    <t>TraesCS3D01G111300</t>
  </si>
  <si>
    <t>tr|D2XV96|D2XV96_BAMOL</t>
  </si>
  <si>
    <t>TraesCS3D01G123400</t>
  </si>
  <si>
    <t>tr|A0A1D5WRR4|A0A1D5WRR4_WHEAT</t>
  </si>
  <si>
    <t>TraesCS3D01G143300</t>
  </si>
  <si>
    <t>tr|E7BMI7|E7BMI7_WHEAT</t>
  </si>
  <si>
    <t>TraesCS3D01G143600</t>
  </si>
  <si>
    <t>tr|H6A2P1|H6A2P1_WHEAT</t>
  </si>
  <si>
    <t>TraesCS3D01G149600</t>
  </si>
  <si>
    <t>tr|D7KVB0|D7KVB0_ARALL</t>
  </si>
  <si>
    <t>TraesCS3D01G157100</t>
  </si>
  <si>
    <t>TraesCS3D01G162700</t>
  </si>
  <si>
    <t>tr|A0A1D5WVD4|A0A1D5WVD4_WHEAT</t>
  </si>
  <si>
    <t>TraesCS3D01G251900</t>
  </si>
  <si>
    <t>tr|A0A1D5WD84|A0A1D5WD84_WHEAT</t>
  </si>
  <si>
    <t>TraesCS3D01G276600</t>
  </si>
  <si>
    <t>tr|A0A1D5WKZ2|A0A1D5WKZ2_WHEAT</t>
  </si>
  <si>
    <t>TraesCS3D01G292100</t>
  </si>
  <si>
    <t>tr|A0A1D5WDZ0|A0A1D5WDZ0_WHEAT</t>
  </si>
  <si>
    <t>TraesCS3D01G293800</t>
  </si>
  <si>
    <t>tr|F2VSI9|F2VSI9_WHEAT</t>
  </si>
  <si>
    <t>TraesCS3D01G300600</t>
  </si>
  <si>
    <t>TraesCS3D01G310200</t>
  </si>
  <si>
    <t>TraesCS3D01G335100</t>
  </si>
  <si>
    <t>TraesCS3D01G362100</t>
  </si>
  <si>
    <t>TraesCS3D01G362900</t>
  </si>
  <si>
    <t>TraesCS3D01G372900</t>
  </si>
  <si>
    <t>TraesCS3D01G399600</t>
  </si>
  <si>
    <t>TraesCS3D01G464300</t>
  </si>
  <si>
    <t>tr|M8C6K6|M8C6K6_AEGTA</t>
  </si>
  <si>
    <t>TraesCS3D01G475800</t>
  </si>
  <si>
    <t>TraesCS3D01G517100</t>
  </si>
  <si>
    <t>TraesCS3D01G517500</t>
  </si>
  <si>
    <t>tr|D2JX42|D2JX42_MUSPR</t>
  </si>
  <si>
    <t>TraesCS3D01G517600</t>
  </si>
  <si>
    <t>TraesCS3D01G517700</t>
  </si>
  <si>
    <t>tr|D2JX45|D2JX45_MUSAC</t>
  </si>
  <si>
    <t>TraesCS3D01G518000</t>
  </si>
  <si>
    <t>TraesCS3D01G530400</t>
  </si>
  <si>
    <t>tr|Q6YZX7|Q6YZX7_ORYSJ</t>
  </si>
  <si>
    <t>Auxin efflux carrier protein-like</t>
  </si>
  <si>
    <t>TraesCS4A01G001300</t>
  </si>
  <si>
    <t>TraesCS4A01G001400</t>
  </si>
  <si>
    <t>tr|W9R427|W9R427_9ROSA</t>
  </si>
  <si>
    <t>TraesCS4A01G007800</t>
  </si>
  <si>
    <t>TraesCS4A01G007900</t>
  </si>
  <si>
    <t>TraesCS4A01G008000</t>
  </si>
  <si>
    <t>TraesCS4A01G009400</t>
  </si>
  <si>
    <t>tr|I1H920|I1H920_BRADI</t>
  </si>
  <si>
    <t>TraesCS4A01G017000</t>
  </si>
  <si>
    <t>tr|G7JS51|G7JS51_MEDTR</t>
  </si>
  <si>
    <t>TraesCS4A01G029800</t>
  </si>
  <si>
    <t>TraesCS4A01G035400</t>
  </si>
  <si>
    <t>AT5G07580.1</t>
  </si>
  <si>
    <t>ethylene-responsive transcription factor</t>
  </si>
  <si>
    <t>TraesCS4A01G036200</t>
  </si>
  <si>
    <t>tr|U5FJ96|U5FJ96_POPTR</t>
  </si>
  <si>
    <t>4-coumarate--CoA ligase family protein</t>
  </si>
  <si>
    <t>TraesCS4A01G044100</t>
  </si>
  <si>
    <t>tr|A0A0B0NHH4|A0A0B0NHH4_GOSAR</t>
  </si>
  <si>
    <t>Auxin-induced in root cultures 12-like protein</t>
  </si>
  <si>
    <t>TraesCS4A01G057800</t>
  </si>
  <si>
    <t>TraesCS4A01G061900</t>
  </si>
  <si>
    <t>tr|T1WRJ1|T1WRJ1_WHEAT</t>
  </si>
  <si>
    <t>Allene oxide synthase</t>
  </si>
  <si>
    <t>tr|C1E2Y9|C1E2Y9_MICCC</t>
  </si>
  <si>
    <t>TraesCS4A01G089800</t>
  </si>
  <si>
    <t>tr|A0A0K9NQE9|A0A0K9NQE9_ZOSMR</t>
  </si>
  <si>
    <t>TraesCS4A01G090200</t>
  </si>
  <si>
    <t>tr|A0A1J6K7V1|A0A1J6K7V1_NICAT</t>
  </si>
  <si>
    <t>TraesCS4A01G106400</t>
  </si>
  <si>
    <t>tr|A7L5U5|A7L5U5_WHEAT</t>
  </si>
  <si>
    <t>TraesCS4A01G111500</t>
  </si>
  <si>
    <t>tr|M7YAG1|M7YAG1_TRIUA</t>
  </si>
  <si>
    <t>TraesCS4A01G129400</t>
  </si>
  <si>
    <t>tr|N1QWK4|N1QWK4_AEGTA</t>
  </si>
  <si>
    <t>Protein ETHYLENE INSENSITIVE 3</t>
  </si>
  <si>
    <t>TraesCS4A01G158100</t>
  </si>
  <si>
    <t>tr|G7ISD9|G7ISD9_MEDTR</t>
  </si>
  <si>
    <t>Auxin-repressed/dormancy-associated protein</t>
  </si>
  <si>
    <t>TraesCS4A01G205000</t>
  </si>
  <si>
    <t>tr|W5DTR0|W5DTR0_WHEAT</t>
  </si>
  <si>
    <t>TraesCS4A01G208400</t>
  </si>
  <si>
    <t>tr|J7EJB7|J7EJB7_WHEAT</t>
  </si>
  <si>
    <t>Abscisic stress-ripening protein</t>
  </si>
  <si>
    <t>TraesCS4A01G216100</t>
  </si>
  <si>
    <t>tr|Q2TNK3|Q2TNK3_SOLTU</t>
  </si>
  <si>
    <t>Phytoalexin-deficient 4-1 protein</t>
  </si>
  <si>
    <t>TraesCS4A01G245100</t>
  </si>
  <si>
    <t>tr|A6MZ93|A6MZ93_GLYUR</t>
  </si>
  <si>
    <t>Dormancy-associated protein/auxin-repressed protein</t>
  </si>
  <si>
    <t>tr|A0A097PRG3|A0A097PRG3_GINBI</t>
  </si>
  <si>
    <t>Accelerated cell death 11</t>
  </si>
  <si>
    <t>TraesCS4A01G275600</t>
  </si>
  <si>
    <t>sp|Q9RPF2|MNTH2_PSEAE</t>
  </si>
  <si>
    <t>Divalent metal cation transporter MntH 2</t>
  </si>
  <si>
    <t>TraesCS4A01G294400</t>
  </si>
  <si>
    <t>tr|M8BS97|M8BS97_AEGTA</t>
  </si>
  <si>
    <t>TraesCS4A01G297000</t>
  </si>
  <si>
    <t>tr|A0A0K9PEC1|A0A0K9PEC1_ZOSMR</t>
  </si>
  <si>
    <t>TraesCS4A01G318100</t>
  </si>
  <si>
    <t>tr|A0A1D6RV64|A0A1D6RV64_WHEAT</t>
  </si>
  <si>
    <t>TraesCS4A01G326400</t>
  </si>
  <si>
    <t>tr|F2Y9E9|F2Y9E9_COFAR</t>
  </si>
  <si>
    <t>TraesCS4A01G344200</t>
  </si>
  <si>
    <t>tr|I7D6P7|I7D6P7_HORVU</t>
  </si>
  <si>
    <t>TraesCS4A01G386400</t>
  </si>
  <si>
    <t>tr|K7VKC8|K7VKC8_SOLTU</t>
  </si>
  <si>
    <t>Auxin repressed/dormancy associated protein</t>
  </si>
  <si>
    <t>TraesCS4A01G386500</t>
  </si>
  <si>
    <t>TraesCS4A01G398300</t>
  </si>
  <si>
    <t>sp|Q975S5|SPEE_SULTO</t>
  </si>
  <si>
    <t>Polyamine aminopropyltransferase</t>
  </si>
  <si>
    <t>TraesCS4A01G433200</t>
  </si>
  <si>
    <t>tr|F1DT01|F1DT01_ELAGV</t>
  </si>
  <si>
    <t>ABA-responsive binding factor</t>
  </si>
  <si>
    <t>tr|A0A192GRR8|A0A192GRR8_9ROSA</t>
  </si>
  <si>
    <t>Guanine nucleotide-binding protein subunit alpha-like protein</t>
  </si>
  <si>
    <t>TraesCS4B01G002000</t>
  </si>
  <si>
    <t>TraesCS4B01G012100</t>
  </si>
  <si>
    <t>tr|F4JQX7|F4JQX7_ARATH</t>
  </si>
  <si>
    <t>TraesCS4B01G018900</t>
  </si>
  <si>
    <t>TraesCS4B01G037700</t>
  </si>
  <si>
    <t>tr|E5F115|E5F115_TRITD</t>
  </si>
  <si>
    <t>TraesCS4B01G037900</t>
  </si>
  <si>
    <t>tr|X2D2V6|X2D2V6_WHEAT</t>
  </si>
  <si>
    <t>TraesCS4B01G045400</t>
  </si>
  <si>
    <t>TraesCS4B01G070300</t>
  </si>
  <si>
    <t>TraesCS4B01G100100</t>
  </si>
  <si>
    <t>TraesCS4B01G104700</t>
  </si>
  <si>
    <t>tr|A0A0B0MGS9|A0A0B0MGS9_GOSAR</t>
  </si>
  <si>
    <t>TraesCS4B01G108700</t>
  </si>
  <si>
    <t>tr|W5EC56|W5EC56_WHEAT</t>
  </si>
  <si>
    <t>TraesCS4B01G112000</t>
  </si>
  <si>
    <t>TraesCS4B01G247000</t>
  </si>
  <si>
    <t>tr|A0A1D1YDC3|A0A1D1YDC3_9ARAE</t>
  </si>
  <si>
    <t>TraesCS4B01G268100</t>
  </si>
  <si>
    <t>TraesCS4B01G269200</t>
  </si>
  <si>
    <t>TraesCS4B01G276200</t>
  </si>
  <si>
    <t>TraesCS4B01G287100</t>
  </si>
  <si>
    <t>TraesCS4B01G296900</t>
  </si>
  <si>
    <t>tr|G7JS78|G7JS78_MEDTR</t>
  </si>
  <si>
    <t>TraesCS4B01G297000</t>
  </si>
  <si>
    <t>TraesCS4B01G297100</t>
  </si>
  <si>
    <t>TraesCS4B01G299700</t>
  </si>
  <si>
    <t>tr|I6MBV0|I6MBV0_JATCU</t>
  </si>
  <si>
    <t>TraesCS4D01G001200</t>
  </si>
  <si>
    <t>TraesCS4D01G015000</t>
  </si>
  <si>
    <t>TraesCS4D01G015100</t>
  </si>
  <si>
    <t>tr|A0A061FHN2|A0A061FHN2_THECC</t>
  </si>
  <si>
    <t>TraesCS4D01G017500</t>
  </si>
  <si>
    <t>TraesCS4D01G017800</t>
  </si>
  <si>
    <t>tr|M7Y795|M7Y795_TRIUA</t>
  </si>
  <si>
    <t>Guanine nucleotide-binding protein subunit beta</t>
  </si>
  <si>
    <t>TraesCS4D01G035200</t>
  </si>
  <si>
    <t>tr|I3NM23|I3NM23_WHEAT</t>
  </si>
  <si>
    <t>TraesCS4D01G036000</t>
  </si>
  <si>
    <t>tr|M8BSP5|M8BSP5_AEGTA</t>
  </si>
  <si>
    <t>Ethylene-insensitive protein 2</t>
  </si>
  <si>
    <t>TraesCS4D01G045300</t>
  </si>
  <si>
    <t>TraesCS4D01G059000</t>
  </si>
  <si>
    <t>AT5G05740.1</t>
  </si>
  <si>
    <t>ethylene-dependent gravitropism-deficient and yellow-green-like 2</t>
  </si>
  <si>
    <t>TraesCS4D01G069100</t>
  </si>
  <si>
    <t>TraesCS4D01G096400</t>
  </si>
  <si>
    <t>TraesCS4D01G105800</t>
  </si>
  <si>
    <t>tr|W5ENL5|W5ENL5_WHEAT</t>
  </si>
  <si>
    <t>TraesCS4D01G109500</t>
  </si>
  <si>
    <t>TraesCS4D01G169100</t>
  </si>
  <si>
    <t>TraesCS4D01G177000</t>
  </si>
  <si>
    <t>tr|A0A146BAC9|A0A146BAC9_WHEAT</t>
  </si>
  <si>
    <t>Ethylene insensitive 3-like product</t>
  </si>
  <si>
    <t>TraesCS4D01G198600</t>
  </si>
  <si>
    <t>TraesCS4D01G215100</t>
  </si>
  <si>
    <t>TraesCS4D01G246400</t>
  </si>
  <si>
    <t>TraesCS4D01G265100</t>
  </si>
  <si>
    <t>tr|A0A151RCU7|A0A151RCU7_CAJCA</t>
  </si>
  <si>
    <t>Auxin-induced in root cultures protein 12</t>
  </si>
  <si>
    <t>TraesCS4D01G265200</t>
  </si>
  <si>
    <t>TraesCS4D01G267500</t>
  </si>
  <si>
    <t>TraesCS4D01G268400</t>
  </si>
  <si>
    <t>TraesCS4D01G269700</t>
  </si>
  <si>
    <t>sp|A9NHD0|TRMFO_ACHLI</t>
  </si>
  <si>
    <t>Methylenetetrahydrofolate--tRNA-(uracil-5-)-methyltransferase TrmFO</t>
  </si>
  <si>
    <t>TraesCS4D01G285800</t>
  </si>
  <si>
    <t>TraesCS4D01G294100</t>
  </si>
  <si>
    <t>TraesCS4D01G295800</t>
  </si>
  <si>
    <t>TraesCS4D01G295900</t>
  </si>
  <si>
    <t>TraesCS4D01G296000</t>
  </si>
  <si>
    <t>TraesCS4D01G298600</t>
  </si>
  <si>
    <t>TraesCS5A01G038300</t>
  </si>
  <si>
    <t>tr|W5FLV0|W5FLV0_WHEAT</t>
  </si>
  <si>
    <t>TraesCS5A01G058600</t>
  </si>
  <si>
    <t>tr|A0A1D5YV70|A0A1D5YV70_WHEAT</t>
  </si>
  <si>
    <t>TraesCS5A01G092400</t>
  </si>
  <si>
    <t>tr|A0A1D5YVM4|A0A1D5YVM4_WHEAT</t>
  </si>
  <si>
    <t>TraesCS5A01G112600</t>
  </si>
  <si>
    <t>TraesCS5A01G132300</t>
  </si>
  <si>
    <t>tr|A0A1B1X3I2|A0A1B1X3I2_WHEAT</t>
  </si>
  <si>
    <t>L-galactono-1,4-lactone dehydrogenase</t>
  </si>
  <si>
    <t>TraesCS5A01G141700</t>
  </si>
  <si>
    <t>tr|G7JFH5|G7JFH5_MEDTR</t>
  </si>
  <si>
    <t>TraesCS5A01G161200</t>
  </si>
  <si>
    <t>tr|D3XD41|D3XD41_BRARC</t>
  </si>
  <si>
    <t>Ethylene insensitive 2 transporter</t>
  </si>
  <si>
    <t>TraesCS5A01G167500</t>
  </si>
  <si>
    <t>tr|A0A1E5WKQ4|A0A1E5WKQ4_9POAL</t>
  </si>
  <si>
    <t>Auxin transport protein BIG</t>
  </si>
  <si>
    <t>TraesCS5A01G169500</t>
  </si>
  <si>
    <t>tr|B6UGU8|B6UGU8_MAIZE</t>
  </si>
  <si>
    <t>TraesCS5A01G180800</t>
  </si>
  <si>
    <t>tr|I3SH14|I3SH14_MEDTR</t>
  </si>
  <si>
    <t>Zinc finger AN1 domain stress-associated protein</t>
  </si>
  <si>
    <t>TraesCS5A01G204900</t>
  </si>
  <si>
    <t>tr|G8A016|G8A016_MEDTR</t>
  </si>
  <si>
    <t>TraesCS5A01G211600</t>
  </si>
  <si>
    <t>tr|Q0PY39|Q0PY39_SOLLC</t>
  </si>
  <si>
    <t>TraesCS5A01G212800</t>
  </si>
  <si>
    <t>TraesCS5A01G213300</t>
  </si>
  <si>
    <t>tr|Q69P88|Q69P88_ORYSJ</t>
  </si>
  <si>
    <t>Early auxin response protein</t>
  </si>
  <si>
    <t>TraesCS5A01G215900</t>
  </si>
  <si>
    <t>TraesCS5A01G216000</t>
  </si>
  <si>
    <t>tr|A0A0K9PS57|A0A0K9PS57_ZOSMR</t>
  </si>
  <si>
    <t>TraesCS5A01G236700</t>
  </si>
  <si>
    <t>TraesCS5A01G238000</t>
  </si>
  <si>
    <t>tr|G7JL85|G7JL85_MEDTR</t>
  </si>
  <si>
    <t>Cytochrome P450 family ABA 8'-hydroxylase</t>
  </si>
  <si>
    <t>TraesCS5A01G238400</t>
  </si>
  <si>
    <t>TraesCS5A01G265700</t>
  </si>
  <si>
    <t>tr|M7ZRW0|M7ZRW0_TRIUA</t>
  </si>
  <si>
    <t>ETHYLENE INSENSITIVE 3-like 3 protein</t>
  </si>
  <si>
    <t>TraesCS5A01G278900</t>
  </si>
  <si>
    <t>tr|R7W1D8|R7W1D8_AEGTA</t>
  </si>
  <si>
    <t>TraesCS5A01G354300</t>
  </si>
  <si>
    <t>tr|B6SVJ1|B6SVJ1_MAIZE</t>
  </si>
  <si>
    <t>Auxin Efflux Carrier family protein</t>
  </si>
  <si>
    <t>TraesCS5A01G398500</t>
  </si>
  <si>
    <t>tr|B6TGQ3|B6TGQ3_MAIZE</t>
  </si>
  <si>
    <t>Gibberellin-regulated protein 1</t>
  </si>
  <si>
    <t>TraesCS5A01G398700</t>
  </si>
  <si>
    <t>tr|A0A0A0LGH8|A0A0A0LGH8_CUCSA</t>
  </si>
  <si>
    <t>Molybdenum cofactor sulfurase</t>
  </si>
  <si>
    <t>tr|D2JWR1|D2JWR1_POPNI</t>
  </si>
  <si>
    <t>Cytochrome P450 allene oxide synthase</t>
  </si>
  <si>
    <t>TraesCS5A01G409200</t>
  </si>
  <si>
    <t>tr|A0A1D6GG94|A0A1D6GG94_MAIZE</t>
  </si>
  <si>
    <t>TraesCS5A01G423200</t>
  </si>
  <si>
    <t>tr|A0A097PRH4|A0A097PRH4_SORBI</t>
  </si>
  <si>
    <t>tr|Q6DLW2|Q6DLW2_SOLTU</t>
  </si>
  <si>
    <t>TraesCS5A01G468800</t>
  </si>
  <si>
    <t>tr|B9T335|B9T335_RICCO</t>
  </si>
  <si>
    <t>TraesCS5A01G473800</t>
  </si>
  <si>
    <t>tr|W9SIG3|W9SIG3_9ROSA</t>
  </si>
  <si>
    <t>TraesCS5A01G488500</t>
  </si>
  <si>
    <t>tr|A0A0K9NUP5|A0A0K9NUP5_ZOSMR</t>
  </si>
  <si>
    <t>TraesCS5B01G001600</t>
  </si>
  <si>
    <t>tr|I7CT66|I7CT66_HORVU</t>
  </si>
  <si>
    <t>TraesCS5B01G039800</t>
  </si>
  <si>
    <t>TraesCS5B01G058500</t>
  </si>
  <si>
    <t>tr|A0A1D6S448|A0A1D6S448_WHEAT</t>
  </si>
  <si>
    <t>TraesCS5B01G118200</t>
  </si>
  <si>
    <t>TraesCS5B01G132600</t>
  </si>
  <si>
    <t>tr|W5FJN8|W5FJN8_WHEAT</t>
  </si>
  <si>
    <t>TraesCS5B01G145900</t>
  </si>
  <si>
    <t>tr|A0A1D5Z1P4|A0A1D5Z1P4_WHEAT</t>
  </si>
  <si>
    <t>TraesCS5B01G158500</t>
  </si>
  <si>
    <t>TraesCS5B01G164500</t>
  </si>
  <si>
    <t>TraesCS5B01G166300</t>
  </si>
  <si>
    <t>TraesCS5B01G178600</t>
  </si>
  <si>
    <t>TraesCS5B01G193200</t>
  </si>
  <si>
    <t>TraesCS5B01G200000</t>
  </si>
  <si>
    <t>AT3G28210.2</t>
  </si>
  <si>
    <t>zinc finger (AN1-like) family protein</t>
  </si>
  <si>
    <t>TraesCS5B01G203400</t>
  </si>
  <si>
    <t>tr|G7KQ89|G7KQ89_MEDTR</t>
  </si>
  <si>
    <t>TraesCS5B01G211000</t>
  </si>
  <si>
    <t>TraesCS5B01G212300</t>
  </si>
  <si>
    <t>TraesCS5B01G214400</t>
  </si>
  <si>
    <t>TraesCS5B01G214500</t>
  </si>
  <si>
    <t>TraesCS5B01G236300</t>
  </si>
  <si>
    <t>TraesCS5B01G236500</t>
  </si>
  <si>
    <t>TraesCS5B01G236900</t>
  </si>
  <si>
    <t>TraesCS5B01G265400</t>
  </si>
  <si>
    <t>TraesCS5B01G267800</t>
  </si>
  <si>
    <t>tr|A0A061FMX0|A0A061FMX0_THECC</t>
  </si>
  <si>
    <t>Auxin efflux carrier family protein, putative</t>
  </si>
  <si>
    <t>TraesCS5B01G348300</t>
  </si>
  <si>
    <t>tr|W5F8V0|W5F8V0_WHEAT</t>
  </si>
  <si>
    <t>TraesCS5B01G356700</t>
  </si>
  <si>
    <t>TraesCS5B01G382400</t>
  </si>
  <si>
    <t>tr|W5FGJ7|W5FGJ7_WHEAT</t>
  </si>
  <si>
    <t>TraesCS5B01G386800</t>
  </si>
  <si>
    <t>tr|A0A1D5Z6N2|A0A1D5Z6N2_WHEAT</t>
  </si>
  <si>
    <t>TraesCS5B01G392400</t>
  </si>
  <si>
    <t>tr|A0A0B0P4P9|A0A0B0P4P9_GOSAR</t>
  </si>
  <si>
    <t>Maltase-glucoamylase, intestinal</t>
  </si>
  <si>
    <t>TraesCS5B01G403600</t>
  </si>
  <si>
    <t>TraesCS5B01G408000</t>
  </si>
  <si>
    <t>TraesCS5B01G413900</t>
  </si>
  <si>
    <t>TraesCS5B01G476900</t>
  </si>
  <si>
    <t>TraesCS5B01G481300</t>
  </si>
  <si>
    <t>TraesCS5B01G502200</t>
  </si>
  <si>
    <t>TraesCS5B01G502700</t>
  </si>
  <si>
    <t>TraesCS5B01G527300</t>
  </si>
  <si>
    <t>TraesCS5B01G561300</t>
  </si>
  <si>
    <t>tr|W5FJL9|W5FJL9_WHEAT</t>
  </si>
  <si>
    <t>TraesCS5B01G565400</t>
  </si>
  <si>
    <t>tr|F1DGA5|F1DGA5_COFAR</t>
  </si>
  <si>
    <t>TraesCS5D01G045700</t>
  </si>
  <si>
    <t>tr|W5G3L6|W5G3L6_WHEAT</t>
  </si>
  <si>
    <t>TraesCS5D01G069300</t>
  </si>
  <si>
    <t>tr|A0A1D6A1Z2|A0A1D6A1Z2_WHEAT</t>
  </si>
  <si>
    <t>TraesCS5D01G104600</t>
  </si>
  <si>
    <t>tr|A0A1D6S742|A0A1D6S742_WHEAT</t>
  </si>
  <si>
    <t>TraesCS5D01G129400</t>
  </si>
  <si>
    <t>TraesCS5D01G150500</t>
  </si>
  <si>
    <t>TraesCS5D01G166000</t>
  </si>
  <si>
    <t>TraesCS5D01G171900</t>
  </si>
  <si>
    <t>TraesCS5D01G173900</t>
  </si>
  <si>
    <t>TraesCS5D01G183700</t>
  </si>
  <si>
    <t>TraesCS5D01G185300</t>
  </si>
  <si>
    <t>TraesCS5D01G200900</t>
  </si>
  <si>
    <t>TraesCS5D01G207400</t>
  </si>
  <si>
    <t>TraesCS5D01G211200</t>
  </si>
  <si>
    <t>TraesCS5D01G219300</t>
  </si>
  <si>
    <t>TraesCS5D01G222300</t>
  </si>
  <si>
    <t>TraesCS5D01G223700</t>
  </si>
  <si>
    <t>TraesCS5D01G223800</t>
  </si>
  <si>
    <t>TraesCS5D01G245300</t>
  </si>
  <si>
    <t>TraesCS5D01G273600</t>
  </si>
  <si>
    <t>tr|N1QWS5|N1QWS5_AEGTA</t>
  </si>
  <si>
    <t>TraesCS5D01G293100</t>
  </si>
  <si>
    <t>tr|A0A1D5YIW8|A0A1D5YIW8_WHEAT</t>
  </si>
  <si>
    <t>TraesCS5D01G320800</t>
  </si>
  <si>
    <t>TraesCS5D01G353600</t>
  </si>
  <si>
    <t>tr|W5FTR4|W5FTR4_WHEAT</t>
  </si>
  <si>
    <t>TraesCS5D01G361600</t>
  </si>
  <si>
    <t>TraesCS5D01G408000</t>
  </si>
  <si>
    <t>TraesCS5D01G408100</t>
  </si>
  <si>
    <t>TraesCS5D01G419000</t>
  </si>
  <si>
    <t>TraesCS5D01G449400</t>
  </si>
  <si>
    <t>tr|M8BZS1|M8BZS1_AEGTA</t>
  </si>
  <si>
    <t>TraesCS5D01G481700</t>
  </si>
  <si>
    <t>TraesCS5D01G503400</t>
  </si>
  <si>
    <t>TraesCS5D01G549200</t>
  </si>
  <si>
    <t>TraesCS5D01G560200</t>
  </si>
  <si>
    <t>tr|M8D8P2|M8D8P2_AEGTA</t>
  </si>
  <si>
    <t>TraesCS5D01G568500</t>
  </si>
  <si>
    <t>tr|M0X4S5|M0X4S5_HORVV</t>
  </si>
  <si>
    <t>TraesCS6A01G027900</t>
  </si>
  <si>
    <t>tr|W9QIB6|W9QIB6_9ROSA</t>
  </si>
  <si>
    <t>TraesCS6A01G097700</t>
  </si>
  <si>
    <t>TraesCS6A01G106300</t>
  </si>
  <si>
    <t>AT1G20925.1</t>
  </si>
  <si>
    <t>Auxin efflux carrier family protein</t>
  </si>
  <si>
    <t>TraesCS6A01G112000</t>
  </si>
  <si>
    <t>tr|N1QYK1|N1QYK1_AEGTA</t>
  </si>
  <si>
    <t>TraesCS6A01G113000</t>
  </si>
  <si>
    <t>tr|W5GF22|W5GF22_WHEAT</t>
  </si>
  <si>
    <t>TraesCS6A01G138600</t>
  </si>
  <si>
    <t>tr|A0A1D6B080|A0A1D6B080_WHEAT</t>
  </si>
  <si>
    <t>TraesCS6A01G181400</t>
  </si>
  <si>
    <t>tr|W9QRX0|W9QRX0_9ROSA</t>
  </si>
  <si>
    <t>TraesCS6A01G186100</t>
  </si>
  <si>
    <t>TraesCS6A01G190500</t>
  </si>
  <si>
    <t>tr|B9SRD1|B9SRD1_RICCO</t>
  </si>
  <si>
    <t>TraesCS6A01G196500</t>
  </si>
  <si>
    <t>tr|A0A1E5W7K4|A0A1E5W7K4_9POAL</t>
  </si>
  <si>
    <t>Ethylene-responsive transcription factor-like protein</t>
  </si>
  <si>
    <t>TraesCS6A01G215500</t>
  </si>
  <si>
    <t>sp|Q6MD85|ISPG_PARUW</t>
  </si>
  <si>
    <t>4-hydroxy-3-methylbut-2-en-1-yl diphosphate synthase (flavodoxin)</t>
  </si>
  <si>
    <t>TraesCS6A01G226200</t>
  </si>
  <si>
    <t>TraesCS6A01G234300</t>
  </si>
  <si>
    <t>TraesCS6A01G235100</t>
  </si>
  <si>
    <t>TraesCS6A01G271300</t>
  </si>
  <si>
    <t>tr|G7K418|G7K418_MEDTR</t>
  </si>
  <si>
    <t>TraesCS6A01G301900</t>
  </si>
  <si>
    <t>TraesCS6A01G303800</t>
  </si>
  <si>
    <t>tr|A0A0K9PAZ0|A0A0K9PAZ0_ZOSMR</t>
  </si>
  <si>
    <t>ATP synthase delta-subunit</t>
  </si>
  <si>
    <t>TraesCS6A01G308600</t>
  </si>
  <si>
    <t>tr|M0Y1A1|M0Y1A1_HORVV</t>
  </si>
  <si>
    <t>TraesCS6A01G319600</t>
  </si>
  <si>
    <t>TraesCS6A01G334800</t>
  </si>
  <si>
    <t>tr|T1WRZ3|T1WRZ3_WHEAT</t>
  </si>
  <si>
    <t>Allene oxide cyclase</t>
  </si>
  <si>
    <t>TraesCS6A01G343300</t>
  </si>
  <si>
    <t>TraesCS6A01G392600</t>
  </si>
  <si>
    <t>tr|A0A1D6A9J8|A0A1D6A9J8_WHEAT</t>
  </si>
  <si>
    <t>TraesCS6A01G399400</t>
  </si>
  <si>
    <t>tr|I7D6Q1|I7D6Q1_HORVU</t>
  </si>
  <si>
    <t>TraesCS6B01G125900</t>
  </si>
  <si>
    <t>TraesCS6B01G167100</t>
  </si>
  <si>
    <t>TraesCS6B01G198200</t>
  </si>
  <si>
    <t>AT3G02260.4</t>
  </si>
  <si>
    <t>auxin transport protein (BIG)</t>
  </si>
  <si>
    <t>TraesCS6B01G210300</t>
  </si>
  <si>
    <t>tr|W9RS58|W9RS58_9ROSA</t>
  </si>
  <si>
    <t>TraesCS6B01G215100</t>
  </si>
  <si>
    <t>tr|B9IKA0|B9IKA0_POPTR</t>
  </si>
  <si>
    <t>TraesCS6B01G222400</t>
  </si>
  <si>
    <t>TraesCS6B01G233400</t>
  </si>
  <si>
    <t>tr|U5FXJ6|U5FXJ6_POPTR</t>
  </si>
  <si>
    <t>TraesCS6B01G255400</t>
  </si>
  <si>
    <t>TraesCS6B01G263000</t>
  </si>
  <si>
    <t>TraesCS6B01G263800</t>
  </si>
  <si>
    <t>TraesCS6B01G281000</t>
  </si>
  <si>
    <t>TraesCS6B01G298500</t>
  </si>
  <si>
    <t>TraesCS6B01G331000</t>
  </si>
  <si>
    <t>TraesCS6B01G337300</t>
  </si>
  <si>
    <t>TraesCS6B01G350400</t>
  </si>
  <si>
    <t>TraesCS6B01G375400</t>
  </si>
  <si>
    <t>TraesCS6B01G439600</t>
  </si>
  <si>
    <t>TraesCS6D01G084200</t>
  </si>
  <si>
    <t>TraesCS6D01G100900</t>
  </si>
  <si>
    <t>TraesCS6D01G127600</t>
  </si>
  <si>
    <t>TraesCS6D01G173100</t>
  </si>
  <si>
    <t>TraesCS6D01G179200</t>
  </si>
  <si>
    <t>TraesCS6D01G180500</t>
  </si>
  <si>
    <t>tr|D7LW60|D7LW60_ARALL</t>
  </si>
  <si>
    <t>TraesCS6D01G216600</t>
  </si>
  <si>
    <t>TraesCS6D01G217800</t>
  </si>
  <si>
    <t>TraesCS6D01G225500</t>
  </si>
  <si>
    <t>TraesCS6D01G243800</t>
  </si>
  <si>
    <t>TraesCS6D01G281200</t>
  </si>
  <si>
    <t>TraesCS6D01G283300</t>
  </si>
  <si>
    <t>TraesCS6D01G287800</t>
  </si>
  <si>
    <t>TraesCS6D01G299000</t>
  </si>
  <si>
    <t>TraesCS6D01G314300</t>
  </si>
  <si>
    <t>TraesCS6D01G324200</t>
  </si>
  <si>
    <t>TraesCS6D01G383600</t>
  </si>
  <si>
    <t>TraesCS7A01G000200</t>
  </si>
  <si>
    <t>TraesCS7A01G057800</t>
  </si>
  <si>
    <t>TraesCS7A01G160800</t>
  </si>
  <si>
    <t>tr|N1QRI9|N1QRI9_AEGTA</t>
  </si>
  <si>
    <t>TraesCS7A01G180900</t>
  </si>
  <si>
    <t>TraesCS7A01G199700</t>
  </si>
  <si>
    <t>AT5G56300.1</t>
  </si>
  <si>
    <t>gibberellic acid methyltransferase 2</t>
  </si>
  <si>
    <t>TraesCS7A01G201100</t>
  </si>
  <si>
    <t>TraesCS7A01G201200</t>
  </si>
  <si>
    <t>tr|G7JYM0|G7JYM0_MEDTR</t>
  </si>
  <si>
    <t>TraesCS7A01G201300</t>
  </si>
  <si>
    <t>TraesCS7A01G201400</t>
  </si>
  <si>
    <t>TraesCS7A01G208100</t>
  </si>
  <si>
    <t>tr|G7KKU5|G7KKU5_MEDTR</t>
  </si>
  <si>
    <t>Gibberellin-regulated family protein</t>
  </si>
  <si>
    <t>TraesCS7A01G246100</t>
  </si>
  <si>
    <t>tr|M7ZG52|M7ZG52_TRIUA</t>
  </si>
  <si>
    <t>TraesCS7A01G252000</t>
  </si>
  <si>
    <t>tr|A0A1D6BUS8|A0A1D6BUS8_WHEAT</t>
  </si>
  <si>
    <t>TraesCS7A01G308900</t>
  </si>
  <si>
    <t>tr|M7Z2Q9|M7Z2Q9_TRIUA</t>
  </si>
  <si>
    <t>TraesCS7A01G331100</t>
  </si>
  <si>
    <t>tr|A0A1D6BHR3|A0A1D6BHR3_WHEAT</t>
  </si>
  <si>
    <t>TraesCS7A01G350800</t>
  </si>
  <si>
    <t>tr|G7K772|G7K772_MEDTR</t>
  </si>
  <si>
    <t>TraesCS7A01G369500</t>
  </si>
  <si>
    <t>tr|B9RKT7|B9RKT7_RICCO</t>
  </si>
  <si>
    <t>TraesCS7A01G412400</t>
  </si>
  <si>
    <t>tr|Q4ZJ73|Q4ZJ73_HEVBR</t>
  </si>
  <si>
    <t>12-oxophytodienoate reductase</t>
  </si>
  <si>
    <t>TraesCS7A01G416400</t>
  </si>
  <si>
    <t>tr|R7WG30|R7WG30_AEGTA</t>
  </si>
  <si>
    <t>TraesCS7A01G416900</t>
  </si>
  <si>
    <t>AT1G23080.4</t>
  </si>
  <si>
    <t>TraesCS7A01G446900</t>
  </si>
  <si>
    <t>tr|A0A1D6BQA8|A0A1D6BQA8_WHEAT</t>
  </si>
  <si>
    <t>TraesCS7A01G461700</t>
  </si>
  <si>
    <t>tr|M0XAA9|M0XAA9_HORVV</t>
  </si>
  <si>
    <t>TraesCS7A01G469000</t>
  </si>
  <si>
    <t>AT1G56150.1</t>
  </si>
  <si>
    <t>TraesCS7A01G469200</t>
  </si>
  <si>
    <t>TraesCS7A01G470400</t>
  </si>
  <si>
    <t>tr|A0A1D6BMJ2|A0A1D6BMJ2_WHEAT</t>
  </si>
  <si>
    <t>TraesCS7A01G492400</t>
  </si>
  <si>
    <t>tr|A0A1D6BPD2|A0A1D6BPD2_WHEAT</t>
  </si>
  <si>
    <t>tr|C8TFG9|C8TFG9_ORYSI</t>
  </si>
  <si>
    <t>Indole-3-glycerol phosphate synthase-like</t>
  </si>
  <si>
    <t>TraesCS7B01G018700</t>
  </si>
  <si>
    <t>tr|B9RBB0|B9RBB0_RICCO</t>
  </si>
  <si>
    <t>TraesCS7B01G028700</t>
  </si>
  <si>
    <t>tr|A0A0K9P1G2|A0A0K9P1G2_ZOSMR</t>
  </si>
  <si>
    <t>TraesCS7B01G058600</t>
  </si>
  <si>
    <t>sp|Q9MAA7|GID1A_ARATH</t>
  </si>
  <si>
    <t>Gibberellin receptor GID1A</t>
  </si>
  <si>
    <t>TraesCS7B01G065800</t>
  </si>
  <si>
    <t>TraesCS7B01G067700</t>
  </si>
  <si>
    <t>tr|A0A097PP46|A0A097PP46_BRADI</t>
  </si>
  <si>
    <t>G-protein coupled receptor 1</t>
  </si>
  <si>
    <t>TraesCS7B01G079500</t>
  </si>
  <si>
    <t>TraesCS7B01G085900</t>
  </si>
  <si>
    <t>TraesCS7B01G107700</t>
  </si>
  <si>
    <t>TraesCS7B01G107800</t>
  </si>
  <si>
    <t>TraesCS7B01G107900</t>
  </si>
  <si>
    <t>TraesCS7B01G108000</t>
  </si>
  <si>
    <t>TraesCS7B01G108400</t>
  </si>
  <si>
    <t>tr|G7JYL9|G7JYL9_MEDTR</t>
  </si>
  <si>
    <t>TraesCS7B01G115300</t>
  </si>
  <si>
    <t>AT1G74670.1</t>
  </si>
  <si>
    <t>TraesCS7B01G138900</t>
  </si>
  <si>
    <t>tr|A0A1D6SE45|A0A1D6SE45_WHEAT</t>
  </si>
  <si>
    <t>TraesCS7B01G152200</t>
  </si>
  <si>
    <t>tr|A0A1E5VIB6|A0A1E5VIB6_9POAL</t>
  </si>
  <si>
    <t>TraesCS7B01G162100</t>
  </si>
  <si>
    <t>TraesCS7B01G242800</t>
  </si>
  <si>
    <t>tr|A0A1D6C638|A0A1D6C638_WHEAT</t>
  </si>
  <si>
    <t>TraesCS7B01G253500</t>
  </si>
  <si>
    <t>tr|A0A1D1YLB7|A0A1D1YLB7_9ARAE</t>
  </si>
  <si>
    <t>Zinc finger homeobox protein 3</t>
  </si>
  <si>
    <t>TraesCS7B01G259000</t>
  </si>
  <si>
    <t>TraesCS7B01G316600</t>
  </si>
  <si>
    <t>tr|A0A1D6C277|A0A1D6C277_WHEAT</t>
  </si>
  <si>
    <t>TraesCS7B01G363100</t>
  </si>
  <si>
    <t>TraesCS7B01G369900</t>
  </si>
  <si>
    <t>TraesCS7B01G370900</t>
  </si>
  <si>
    <t>TraesCS7B01G372400</t>
  </si>
  <si>
    <t>tr|A0A1D6C561|A0A1D6C561_WHEAT</t>
  </si>
  <si>
    <t>TraesCS7B01G398100</t>
  </si>
  <si>
    <t>tr|A0A1D6C9B4|A0A1D6C9B4_WHEAT</t>
  </si>
  <si>
    <t>TraesCS7B01G423900</t>
  </si>
  <si>
    <t>TraesCS7D01G000100</t>
  </si>
  <si>
    <t>TraesCS7D01G052400</t>
  </si>
  <si>
    <t>TraesCS7D01G052500</t>
  </si>
  <si>
    <t>TraesCS7D01G052600</t>
  </si>
  <si>
    <t>TraesCS7D01G082600</t>
  </si>
  <si>
    <t>TraesCS7D01G161900</t>
  </si>
  <si>
    <t>TraesCS7D01G175900</t>
  </si>
  <si>
    <t>TraesCS7D01G182700</t>
  </si>
  <si>
    <t>TraesCS7D01G204200</t>
  </si>
  <si>
    <t>TraesCS7D01G204300</t>
  </si>
  <si>
    <t>TraesCS7D01G204500</t>
  </si>
  <si>
    <t>TraesCS7D01G204700</t>
  </si>
  <si>
    <t>TraesCS7D01G210500</t>
  </si>
  <si>
    <t>TraesCS7D01G250100</t>
  </si>
  <si>
    <t>tr|A0A1D6D324|A0A1D6D324_WHEAT</t>
  </si>
  <si>
    <t>TraesCS7D01G254100</t>
  </si>
  <si>
    <t>TraesCS7D01G328000</t>
  </si>
  <si>
    <t>TraesCS7D01G339300</t>
  </si>
  <si>
    <t>tr|A0A1D6CRV1|A0A1D6CRV1_WHEAT</t>
  </si>
  <si>
    <t>TraesCS7D01G349600</t>
  </si>
  <si>
    <t>TraesCS7D01G353800</t>
  </si>
  <si>
    <t>TraesCS7D01G372700</t>
  </si>
  <si>
    <t>TraesCS7D01G409700</t>
  </si>
  <si>
    <t>TraesCS7D01G449900</t>
  </si>
  <si>
    <t>tr|W5I372|W5I372_WHEAT</t>
  </si>
  <si>
    <t>TraesCS7D01G455900</t>
  </si>
  <si>
    <t>TraesCS7D01G456700</t>
  </si>
  <si>
    <t>TraesCS7D01G457800</t>
  </si>
  <si>
    <t>tr|A0A1D6CLD6|A0A1D6CLD6_WHEAT</t>
  </si>
  <si>
    <t>TraesCS7D01G478800</t>
  </si>
  <si>
    <t>TraesCS7D01G501700</t>
  </si>
  <si>
    <t>TraesCS7D01G550800</t>
  </si>
  <si>
    <t>tr|B9SLF4|B9SLF4_RICCO</t>
  </si>
  <si>
    <t>Gibberellin-regulated protein 2, putative</t>
  </si>
  <si>
    <t>IWGSC_RefSeqV1.0_ID</t>
  </si>
  <si>
    <t>Gene name</t>
  </si>
  <si>
    <t>SA</t>
  </si>
  <si>
    <t>JA</t>
  </si>
  <si>
    <t>ET</t>
  </si>
  <si>
    <t>Auxin</t>
  </si>
  <si>
    <t>Gibberellin</t>
  </si>
  <si>
    <t>ABA</t>
  </si>
  <si>
    <t/>
  </si>
  <si>
    <t>IAA15</t>
  </si>
  <si>
    <t>ARF22-LIKE</t>
  </si>
  <si>
    <t>ARF3</t>
  </si>
  <si>
    <t>JAR1</t>
  </si>
  <si>
    <t>COI1</t>
  </si>
  <si>
    <t>IAA19</t>
  </si>
  <si>
    <t>ATGPA1</t>
  </si>
  <si>
    <t>GILP</t>
  </si>
  <si>
    <t>VIK</t>
  </si>
  <si>
    <t>JAS1, JAZ10</t>
  </si>
  <si>
    <t>ACS6</t>
  </si>
  <si>
    <t>ABCB19</t>
  </si>
  <si>
    <t>LOX</t>
  </si>
  <si>
    <t>ARF8</t>
  </si>
  <si>
    <t>AMI1, AMIDASE 1, AMIDASE-LIKE PROTEIN 1,</t>
  </si>
  <si>
    <t>EOL1</t>
  </si>
  <si>
    <t>LOX3/4</t>
  </si>
  <si>
    <t>CNX1</t>
  </si>
  <si>
    <t>ETR3</t>
  </si>
  <si>
    <t>OPR1</t>
  </si>
  <si>
    <t>ABA DEFICIENT 1, ABA1</t>
  </si>
  <si>
    <t>ISS1; VAS1</t>
  </si>
  <si>
    <t>CYP20-3, ROC4</t>
  </si>
  <si>
    <t>IAA27; PAP2</t>
  </si>
  <si>
    <t xml:space="preserve">IAA6-like </t>
  </si>
  <si>
    <t>CPL2</t>
  </si>
  <si>
    <t>CRT3</t>
  </si>
  <si>
    <t>ERF96/97</t>
  </si>
  <si>
    <t xml:space="preserve">ERF060-like </t>
  </si>
  <si>
    <t>4-Coumarate:CoA ligase (4CL)</t>
  </si>
  <si>
    <t>TaAOS</t>
  </si>
  <si>
    <t>AOS2</t>
  </si>
  <si>
    <t>ASAS2</t>
  </si>
  <si>
    <t>MPK3</t>
  </si>
  <si>
    <t>PAD4</t>
  </si>
  <si>
    <t>ACAULIS 5, ACL5</t>
  </si>
  <si>
    <t>GLTP</t>
  </si>
  <si>
    <t>AGB1, ATAGB1, ELK4</t>
  </si>
  <si>
    <t>ARF6</t>
  </si>
  <si>
    <t>IAA30</t>
  </si>
  <si>
    <t>NDPK2</t>
  </si>
  <si>
    <t>AIP2</t>
  </si>
  <si>
    <t>IAA13</t>
  </si>
  <si>
    <t>ACCELERATED CELL DEATH 11, ACD11</t>
  </si>
  <si>
    <t>LTP3</t>
  </si>
  <si>
    <t>SAP12, STRESS-ASSOCIATED PROTEIN 12</t>
  </si>
  <si>
    <t>ERF109</t>
  </si>
  <si>
    <t>LOX1.1</t>
  </si>
  <si>
    <t>ABA DEFICIENT 2, ABA2</t>
  </si>
  <si>
    <t>GER5</t>
  </si>
  <si>
    <t>ASAS1</t>
  </si>
  <si>
    <t>ALPHA-DIOXYGENASE 1</t>
  </si>
  <si>
    <t>CYP74B2, HPL1, HYDROPEROXIDE LYASE 1</t>
  </si>
  <si>
    <t>ARF5-LIKE</t>
  </si>
  <si>
    <t>4-HYDROXY-3-METHYLBUT-2-ENYL DIPHOSPHATE SYNTHASE, CHLOROPLAST BIOGENESIS 4, CLB4, CONSTITUTIVE SUBTILISIN 3, CSB3, GCPE, HDS, ISPG</t>
  </si>
  <si>
    <t>PDE332</t>
  </si>
  <si>
    <t>AOC1</t>
  </si>
  <si>
    <t>IAA10</t>
  </si>
  <si>
    <t>ABO5</t>
  </si>
  <si>
    <t>PIN-FORMED 1, PIN1</t>
  </si>
  <si>
    <t>AOC</t>
  </si>
  <si>
    <t>ARF21-LIKE</t>
  </si>
  <si>
    <t>RGLG4</t>
  </si>
  <si>
    <t>MBF1C</t>
  </si>
  <si>
    <t>OPR3</t>
  </si>
  <si>
    <t>ABA3</t>
  </si>
  <si>
    <t>AGR, AGR1, EIR1, MM31, PIN2, WAV6</t>
  </si>
  <si>
    <t>ARF16</t>
  </si>
  <si>
    <t>GCR1</t>
  </si>
  <si>
    <t>OCP3</t>
  </si>
  <si>
    <t>ARF19-LIKE</t>
  </si>
  <si>
    <t>GAST</t>
  </si>
  <si>
    <t>WRKY51</t>
  </si>
  <si>
    <t>ETR2</t>
  </si>
  <si>
    <t>ATCTR1, CONSTITUTIVE TRIPLE RESPONSE 1, CTR1, SIS1, SUGAR-INSENSITIVE</t>
  </si>
  <si>
    <t>OPR</t>
  </si>
  <si>
    <t>MPT2, PHT3;2</t>
  </si>
  <si>
    <t>-</t>
  </si>
  <si>
    <t>orthologs</t>
  </si>
  <si>
    <t>TGACv1</t>
  </si>
  <si>
    <t>Cluster Membership</t>
  </si>
  <si>
    <t>Network Degree</t>
  </si>
  <si>
    <t>Log(x+1,2)</t>
  </si>
  <si>
    <t>SFg_2d</t>
  </si>
  <si>
    <t>SFg_4d</t>
  </si>
  <si>
    <t>HCFg_2d</t>
  </si>
  <si>
    <t>HCFg_4d</t>
  </si>
  <si>
    <t>NFg_2d</t>
  </si>
  <si>
    <t>NFg_4d</t>
  </si>
  <si>
    <t>WFg_2d</t>
  </si>
  <si>
    <t>WFg_4d</t>
  </si>
  <si>
    <t>SH20_2d</t>
  </si>
  <si>
    <t>SH20_4d</t>
  </si>
  <si>
    <t>HCH20_2d</t>
  </si>
  <si>
    <t>HCH20_4d</t>
  </si>
  <si>
    <t>NH20_2d</t>
  </si>
  <si>
    <t>NH20_4d</t>
  </si>
  <si>
    <t>WH20_2d</t>
  </si>
  <si>
    <t>WH20_4d</t>
  </si>
  <si>
    <t>C13</t>
  </si>
  <si>
    <t>C20</t>
  </si>
  <si>
    <t>C8</t>
  </si>
  <si>
    <t>C3</t>
  </si>
  <si>
    <t>C1</t>
  </si>
  <si>
    <t>C12</t>
  </si>
  <si>
    <t>C2</t>
  </si>
  <si>
    <t>C5</t>
  </si>
  <si>
    <t>C22</t>
  </si>
  <si>
    <t>C26</t>
  </si>
  <si>
    <t>C9</t>
  </si>
  <si>
    <t>C32</t>
  </si>
  <si>
    <t>C7</t>
  </si>
  <si>
    <t>C16</t>
  </si>
  <si>
    <t>C25</t>
  </si>
  <si>
    <t>C4</t>
  </si>
  <si>
    <t>C40</t>
  </si>
  <si>
    <t>C6</t>
  </si>
  <si>
    <t>C36</t>
  </si>
  <si>
    <t>C15</t>
  </si>
  <si>
    <t>C27</t>
  </si>
  <si>
    <t>C39</t>
  </si>
  <si>
    <t>C19</t>
  </si>
  <si>
    <t>C10</t>
  </si>
  <si>
    <t>C14</t>
  </si>
  <si>
    <t>C38</t>
  </si>
  <si>
    <t>C29</t>
  </si>
  <si>
    <t>C21</t>
  </si>
  <si>
    <t>C17</t>
  </si>
  <si>
    <t>C37</t>
  </si>
  <si>
    <t>C24</t>
  </si>
  <si>
    <t>C23</t>
  </si>
  <si>
    <t>C11</t>
  </si>
  <si>
    <t>C35</t>
  </si>
  <si>
    <t>C28</t>
  </si>
  <si>
    <t>C33</t>
  </si>
  <si>
    <t>C34</t>
  </si>
  <si>
    <t>DEFE patterns</t>
  </si>
  <si>
    <t>FW00000000</t>
  </si>
  <si>
    <t>FRS000000</t>
  </si>
  <si>
    <t>WRS000000</t>
  </si>
  <si>
    <t>FT0000</t>
  </si>
  <si>
    <t>WT0000</t>
  </si>
  <si>
    <t>FR000000</t>
  </si>
  <si>
    <t>WR000000</t>
  </si>
  <si>
    <t>FW(S-2d, S-4d, HC-2d, HC-4d, N-2d, N-4d, W-2d, W4d)</t>
  </si>
  <si>
    <t>FRS( HC/S_2d, HC/S_4d, N/S_2d, N/S_4d, W/S_2d, W/SFg_4d)</t>
  </si>
  <si>
    <t>WRS( HC/S_2d, HC/S_4d, N/S_2d, N/S_4d, W/S_2d, W/SFg_4d)</t>
  </si>
  <si>
    <t>FT(S_2/4d, HC_2/4d, N_2/4d, W_2/4d)</t>
  </si>
  <si>
    <t>WT(S_2/4d, HC_2/4d, N_2/4d, W_2/4d)</t>
  </si>
  <si>
    <t>FR(W/N_2d, W/N_4d, HC/N_2d, HC/N_4d, HC/W_2d, HC/W_4d)</t>
  </si>
  <si>
    <t>WR(W/N_2d, W/N_4d, HC/N_2d, HC/N_4d, HC/W_2d, HC/W_4d)</t>
  </si>
  <si>
    <t>FW01000000</t>
  </si>
  <si>
    <t>FRS020202</t>
  </si>
  <si>
    <t>FT2000</t>
  </si>
  <si>
    <t>FW02000000</t>
  </si>
  <si>
    <t>FRS000011</t>
  </si>
  <si>
    <t>FRS000001</t>
  </si>
  <si>
    <t>FW11111111</t>
  </si>
  <si>
    <t>FRS222222</t>
  </si>
  <si>
    <t>FT0002</t>
  </si>
  <si>
    <t>FW20000000</t>
  </si>
  <si>
    <t>WRS202000</t>
  </si>
  <si>
    <t>FW10001000</t>
  </si>
  <si>
    <t>WRS100000</t>
  </si>
  <si>
    <t>FT2222</t>
  </si>
  <si>
    <t>WT2222</t>
  </si>
  <si>
    <t>FR200000</t>
  </si>
  <si>
    <t>FRS000100</t>
  </si>
  <si>
    <t>FT0020</t>
  </si>
  <si>
    <t>FW11001000</t>
  </si>
  <si>
    <t>FRS220222</t>
  </si>
  <si>
    <t>WRS000100</t>
  </si>
  <si>
    <t>FW10000000</t>
  </si>
  <si>
    <t>FRS202020</t>
  </si>
  <si>
    <t>FT1000</t>
  </si>
  <si>
    <t>FR200010</t>
  </si>
  <si>
    <t>WRS020002</t>
  </si>
  <si>
    <t>WT2000</t>
  </si>
  <si>
    <t>WR020200</t>
  </si>
  <si>
    <t>FW00010000</t>
  </si>
  <si>
    <t>WT2002</t>
  </si>
  <si>
    <t>FRS000002</t>
  </si>
  <si>
    <t>WR000200</t>
  </si>
  <si>
    <t>FRS010101</t>
  </si>
  <si>
    <t>FW22020200</t>
  </si>
  <si>
    <t>FRS010111</t>
  </si>
  <si>
    <t>FR110022</t>
  </si>
  <si>
    <t>FW00010010</t>
  </si>
  <si>
    <t>WRS020202</t>
  </si>
  <si>
    <t>FR100120</t>
  </si>
  <si>
    <t>FW22000000</t>
  </si>
  <si>
    <t>WRS220202</t>
  </si>
  <si>
    <t>WR002000</t>
  </si>
  <si>
    <t>FRS001100</t>
  </si>
  <si>
    <t>FR222200</t>
  </si>
  <si>
    <t>FT0010</t>
  </si>
  <si>
    <t>WR002222</t>
  </si>
  <si>
    <t>FRS001000</t>
  </si>
  <si>
    <t>WRS001000</t>
  </si>
  <si>
    <t>FR202000</t>
  </si>
  <si>
    <t>WR202000</t>
  </si>
  <si>
    <t>FRS020002</t>
  </si>
  <si>
    <t>FW22222220</t>
  </si>
  <si>
    <t>FRS111111</t>
  </si>
  <si>
    <t>WT0001</t>
  </si>
  <si>
    <t>FRS020000</t>
  </si>
  <si>
    <t>WRS020000</t>
  </si>
  <si>
    <t>WRS000001</t>
  </si>
  <si>
    <t>WT1000</t>
  </si>
  <si>
    <t>FR110002</t>
  </si>
  <si>
    <t>WR110022</t>
  </si>
  <si>
    <t>FW11011100</t>
  </si>
  <si>
    <t>FRS020222</t>
  </si>
  <si>
    <t>FW11101001</t>
  </si>
  <si>
    <t>FR010002</t>
  </si>
  <si>
    <t>WR100020</t>
  </si>
  <si>
    <t>FW11111101</t>
  </si>
  <si>
    <t>FW11000000</t>
  </si>
  <si>
    <t>FRS202222</t>
  </si>
  <si>
    <t>FRS000020</t>
  </si>
  <si>
    <t>WR010000</t>
  </si>
  <si>
    <t>WRS000010</t>
  </si>
  <si>
    <t>FRS202001</t>
  </si>
  <si>
    <t>FRS202000</t>
  </si>
  <si>
    <t>WT2020</t>
  </si>
  <si>
    <t>FRS000110</t>
  </si>
  <si>
    <t>FR020200</t>
  </si>
  <si>
    <t>FW11111010</t>
  </si>
  <si>
    <t>FR000010</t>
  </si>
  <si>
    <t>FR220011</t>
  </si>
  <si>
    <t>FR002000</t>
  </si>
  <si>
    <t>WR110020</t>
  </si>
  <si>
    <t>FW22000020</t>
  </si>
  <si>
    <t>WR000020</t>
  </si>
  <si>
    <t>WT0010</t>
  </si>
  <si>
    <t>WT1010</t>
  </si>
  <si>
    <t>FW01000100</t>
  </si>
  <si>
    <t>FRS220202</t>
  </si>
  <si>
    <t>WR010002</t>
  </si>
  <si>
    <t>FW22020000</t>
  </si>
  <si>
    <t>FR000020</t>
  </si>
  <si>
    <t>FW11111100</t>
  </si>
  <si>
    <t>FRS000010</t>
  </si>
  <si>
    <t>FT0001</t>
  </si>
  <si>
    <t>FR100020</t>
  </si>
  <si>
    <t>FT0220</t>
  </si>
  <si>
    <t>FR010000</t>
  </si>
  <si>
    <t>WRS000002</t>
  </si>
  <si>
    <t>WRS000020</t>
  </si>
  <si>
    <t>FW22000002</t>
  </si>
  <si>
    <t>WRS220000</t>
  </si>
  <si>
    <t>FRS002200</t>
  </si>
  <si>
    <t>FR100000</t>
  </si>
  <si>
    <t>FW00000020</t>
  </si>
  <si>
    <t>WT2220</t>
  </si>
  <si>
    <t>FRS100000</t>
  </si>
  <si>
    <t>FR001100</t>
  </si>
  <si>
    <t>WR101000</t>
  </si>
  <si>
    <t>FRS011111</t>
  </si>
  <si>
    <t>FT2002</t>
  </si>
  <si>
    <t>FRS222220</t>
  </si>
  <si>
    <t>FW01000010</t>
  </si>
  <si>
    <t>FW10000010</t>
  </si>
  <si>
    <t>FT1001</t>
  </si>
  <si>
    <t>FT0101</t>
  </si>
  <si>
    <t>FT1111</t>
  </si>
  <si>
    <t>FT0111</t>
  </si>
  <si>
    <t>WT0111</t>
  </si>
  <si>
    <t>WRS010001</t>
  </si>
  <si>
    <t>FW20002000</t>
  </si>
  <si>
    <t>FT0011</t>
  </si>
  <si>
    <t>FW01010100</t>
  </si>
  <si>
    <t>FR000100</t>
  </si>
  <si>
    <t>WT1011</t>
  </si>
  <si>
    <t>WT0020</t>
  </si>
  <si>
    <t>FW02020000</t>
  </si>
  <si>
    <t>FW00000010</t>
  </si>
  <si>
    <t>FT2200</t>
  </si>
  <si>
    <t>WT2022</t>
  </si>
  <si>
    <t>FRS000200</t>
  </si>
  <si>
    <t>WRS000200</t>
  </si>
  <si>
    <t>FR010100</t>
  </si>
  <si>
    <t>FR111100</t>
  </si>
  <si>
    <t>FT0022</t>
  </si>
  <si>
    <t>FW11010101</t>
  </si>
  <si>
    <t>WR100000</t>
  </si>
  <si>
    <t>FW11111000</t>
  </si>
  <si>
    <t>FW11001010</t>
  </si>
  <si>
    <t>FRS220022</t>
  </si>
  <si>
    <t>WT0022</t>
  </si>
  <si>
    <t>WR011100</t>
  </si>
  <si>
    <t>FRS022202</t>
  </si>
  <si>
    <t>FW11010100</t>
  </si>
  <si>
    <t>FT0202</t>
  </si>
  <si>
    <t>FW11010001</t>
  </si>
  <si>
    <t>FRS000202</t>
  </si>
  <si>
    <t>FW11111011</t>
  </si>
  <si>
    <t>WT1111</t>
  </si>
  <si>
    <t>FW11011110</t>
  </si>
  <si>
    <t>FW00002000</t>
  </si>
  <si>
    <t>FW11111110</t>
  </si>
  <si>
    <t>FW11011101</t>
  </si>
  <si>
    <t>FRS010000</t>
  </si>
  <si>
    <t>FT2220</t>
  </si>
  <si>
    <t>FT1011</t>
  </si>
  <si>
    <t>FR000101</t>
  </si>
  <si>
    <t>FRS020212</t>
  </si>
  <si>
    <t>FRS202202</t>
  </si>
  <si>
    <t>WRS020200</t>
  </si>
  <si>
    <t>FRS000210</t>
  </si>
  <si>
    <t>WRS101010</t>
  </si>
  <si>
    <t>FRS000222</t>
  </si>
  <si>
    <t>WT1110</t>
  </si>
  <si>
    <t>FRS100010</t>
  </si>
  <si>
    <t>WT0011</t>
  </si>
  <si>
    <t>FRS010001</t>
  </si>
  <si>
    <t>WR222000</t>
  </si>
  <si>
    <t>FW00020000</t>
  </si>
  <si>
    <t>WRS000202</t>
  </si>
  <si>
    <t>FRS000022</t>
  </si>
  <si>
    <t>WRS200000</t>
  </si>
  <si>
    <t>FW22000200</t>
  </si>
  <si>
    <t>FT0100</t>
  </si>
  <si>
    <t>WT1001</t>
  </si>
  <si>
    <t>WRS202020</t>
  </si>
  <si>
    <t>FW11010000</t>
  </si>
  <si>
    <t>FW11001110</t>
  </si>
  <si>
    <t>FR020000</t>
  </si>
  <si>
    <t>WRS100010</t>
  </si>
  <si>
    <t>WRS010101</t>
  </si>
  <si>
    <t>FW02000010</t>
  </si>
  <si>
    <t>FW11110000</t>
  </si>
  <si>
    <t>FRS002220</t>
  </si>
  <si>
    <t>FRS200020</t>
  </si>
  <si>
    <t>FW11001100</t>
  </si>
  <si>
    <t>FRS002202</t>
  </si>
  <si>
    <t>FW11000010</t>
  </si>
  <si>
    <t>WRS101000</t>
  </si>
  <si>
    <t>FT1101</t>
  </si>
  <si>
    <t>FW11010010</t>
  </si>
  <si>
    <t>FW22002200</t>
  </si>
  <si>
    <t>FW02002000</t>
  </si>
  <si>
    <t>FT0200</t>
  </si>
  <si>
    <t>WRS100002</t>
  </si>
  <si>
    <t>FRS222202</t>
  </si>
  <si>
    <t>FRS000111</t>
  </si>
  <si>
    <t>FW00020002</t>
  </si>
  <si>
    <t>WR200000</t>
  </si>
  <si>
    <t>FW11011111</t>
  </si>
  <si>
    <t>FRS202220</t>
  </si>
  <si>
    <t>FRS101010</t>
  </si>
  <si>
    <t>FW11011000</t>
  </si>
  <si>
    <t>FR000001</t>
  </si>
  <si>
    <t>FW11010111</t>
  </si>
  <si>
    <t>WT0100</t>
  </si>
  <si>
    <t>FR110100</t>
  </si>
  <si>
    <t>FW01010001</t>
  </si>
  <si>
    <t>FR111000</t>
  </si>
  <si>
    <t>FW20000002</t>
  </si>
  <si>
    <t>FW00010110</t>
  </si>
  <si>
    <t>FRS002222</t>
  </si>
  <si>
    <t>WRS222022</t>
  </si>
  <si>
    <t>FW22000220</t>
  </si>
  <si>
    <t>FW11010110</t>
  </si>
  <si>
    <t>FW20002020</t>
  </si>
  <si>
    <t>FRS001111</t>
  </si>
  <si>
    <t>FR002222</t>
  </si>
  <si>
    <t>FRS220000</t>
  </si>
  <si>
    <t>FRS111100</t>
  </si>
  <si>
    <t>WRS222200</t>
  </si>
  <si>
    <t>FW00000001</t>
  </si>
  <si>
    <t>WRS111100</t>
  </si>
  <si>
    <t>WR220011</t>
  </si>
  <si>
    <t>FRS200022</t>
  </si>
  <si>
    <t>FR200001</t>
  </si>
  <si>
    <t>FW10101011</t>
  </si>
  <si>
    <t>WRS000022</t>
  </si>
  <si>
    <t>FRS010120</t>
  </si>
  <si>
    <t>FR020001</t>
  </si>
  <si>
    <t>WR020001</t>
  </si>
  <si>
    <t>FRS100100</t>
  </si>
  <si>
    <t>FW01110100</t>
  </si>
  <si>
    <t>WRS220222</t>
  </si>
  <si>
    <t>FW11101100</t>
  </si>
  <si>
    <t>FW10101000</t>
  </si>
  <si>
    <t>FT1010</t>
  </si>
  <si>
    <t>WR200001</t>
  </si>
  <si>
    <t>FW11101000</t>
  </si>
  <si>
    <t>FW00000100</t>
  </si>
  <si>
    <t>FW01000110</t>
  </si>
  <si>
    <t>WRS100011</t>
  </si>
  <si>
    <t>FT0222</t>
  </si>
  <si>
    <t>WRS111110</t>
  </si>
  <si>
    <t>FW00100000</t>
  </si>
  <si>
    <t>FRS101111</t>
  </si>
  <si>
    <t>WRS111101</t>
  </si>
  <si>
    <t>FW20022000</t>
  </si>
  <si>
    <t>FRS202022</t>
  </si>
  <si>
    <t>FW11101110</t>
  </si>
  <si>
    <t>WRS101011</t>
  </si>
  <si>
    <t>FW11001111</t>
  </si>
  <si>
    <t>WR010022</t>
  </si>
  <si>
    <t>FRS200200</t>
  </si>
  <si>
    <t>FW22002220</t>
  </si>
  <si>
    <t>FW10101111</t>
  </si>
  <si>
    <t>FW02022000</t>
  </si>
  <si>
    <t>FW20022200</t>
  </si>
  <si>
    <t>FR002022</t>
  </si>
  <si>
    <t>FW20022022</t>
  </si>
  <si>
    <t>FRS200202</t>
  </si>
  <si>
    <t>FW20220000</t>
  </si>
  <si>
    <t>FRS010010</t>
  </si>
  <si>
    <t>FRS200002</t>
  </si>
  <si>
    <t>FW00010001</t>
  </si>
  <si>
    <t>WR020011</t>
  </si>
  <si>
    <t>FRS011011</t>
  </si>
  <si>
    <t>FRS012011</t>
  </si>
  <si>
    <t>WRS200200</t>
  </si>
  <si>
    <t>FW22022002</t>
  </si>
  <si>
    <t>FW20022002</t>
  </si>
  <si>
    <t>FRS200001</t>
  </si>
  <si>
    <t>FW02200000</t>
  </si>
  <si>
    <t>FRS011110</t>
  </si>
  <si>
    <t>FW22220000</t>
  </si>
  <si>
    <t>FR022200</t>
  </si>
  <si>
    <t>FR220210</t>
  </si>
  <si>
    <t>FT1220</t>
  </si>
  <si>
    <t>FW01020200</t>
  </si>
  <si>
    <t>FW10100010</t>
  </si>
  <si>
    <t>WRS020211</t>
  </si>
  <si>
    <t>FW20222200</t>
  </si>
  <si>
    <t>FW00010111</t>
  </si>
  <si>
    <t>FW20200202</t>
  </si>
  <si>
    <t>FW10101010</t>
  </si>
  <si>
    <t>FW00222200</t>
  </si>
  <si>
    <t>FW22202020</t>
  </si>
  <si>
    <t>FRS220122</t>
  </si>
  <si>
    <t>Orthologs and maps to earlier version of the wheat genome</t>
  </si>
  <si>
    <t>IWGSC_Survey_v2.2</t>
  </si>
  <si>
    <t>to earlier version of wheat genome</t>
  </si>
  <si>
    <t>Zea mays</t>
  </si>
  <si>
    <t>Oryza sativa Japonica</t>
  </si>
  <si>
    <t xml:space="preserve">Brachypodium distachyon </t>
  </si>
  <si>
    <t>Araport11</t>
  </si>
  <si>
    <t>Hormone pathway involved</t>
  </si>
  <si>
    <t>NPR1</t>
  </si>
  <si>
    <t>log2 FoldChange</t>
  </si>
  <si>
    <t>p value</t>
  </si>
  <si>
    <t>Susceptible genes</t>
  </si>
  <si>
    <t>Fg treated vs H2O</t>
  </si>
  <si>
    <t>2 dpi</t>
  </si>
  <si>
    <t>4 dpi</t>
  </si>
  <si>
    <t>2 &amp; 4 dpi</t>
  </si>
  <si>
    <t>S_2d</t>
  </si>
  <si>
    <t>S_4d</t>
  </si>
  <si>
    <t>HC_2d</t>
  </si>
  <si>
    <t>HC_4d</t>
  </si>
  <si>
    <t>N_2d</t>
  </si>
  <si>
    <t>N_4d</t>
  </si>
  <si>
    <t>W_2d</t>
  </si>
  <si>
    <t>W_4d</t>
  </si>
  <si>
    <t>R gene</t>
  </si>
  <si>
    <t>Cytokinin</t>
  </si>
  <si>
    <t>Additional File 7: PhytohormonePathwayGenes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</si>
</sst>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C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3" fillId="0" borderId="0"/>
  </cellStyleXfs>
  <cellXfs count="35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  <xf numFmtId="0" fontId="4" fillId="0" borderId="0" xfId="0" applyFont="1"/>
    <xf numFmtId="0" fontId="0" fillId="4" borderId="0" xfId="0" applyFill="1"/>
    <xf numFmtId="0" fontId="1" fillId="0" borderId="0" xfId="0" applyFont="1" applyFill="1"/>
    <xf numFmtId="0" fontId="5" fillId="0" borderId="0" xfId="2" applyFill="1"/>
    <xf numFmtId="0" fontId="5" fillId="0" borderId="0" xfId="2"/>
    <xf numFmtId="164" fontId="0" fillId="0" borderId="0" xfId="0" applyNumberFormat="1" applyFill="1"/>
    <xf numFmtId="2" fontId="0" fillId="0" borderId="0" xfId="0" applyNumberFormat="1"/>
    <xf numFmtId="0" fontId="6" fillId="2" borderId="0" xfId="0" applyFont="1" applyFill="1"/>
    <xf numFmtId="0" fontId="0" fillId="4" borderId="0" xfId="0" applyFill="1" applyBorder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165" fontId="0" fillId="0" borderId="0" xfId="0" applyNumberFormat="1" applyBorder="1" applyAlignment="1">
      <alignment horizontal="right"/>
    </xf>
    <xf numFmtId="165" fontId="0" fillId="0" borderId="0" xfId="0" applyNumberFormat="1" applyBorder="1"/>
    <xf numFmtId="165" fontId="0" fillId="0" borderId="0" xfId="0" applyNumberFormat="1"/>
    <xf numFmtId="164" fontId="0" fillId="0" borderId="0" xfId="0" applyNumberFormat="1" applyBorder="1"/>
    <xf numFmtId="0" fontId="0" fillId="12" borderId="0" xfId="0" applyFill="1"/>
    <xf numFmtId="1" fontId="0" fillId="0" borderId="0" xfId="0" applyNumberFormat="1"/>
    <xf numFmtId="0" fontId="0" fillId="10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7" borderId="0" xfId="0" applyFill="1" applyAlignment="1">
      <alignment horizontal="center"/>
    </xf>
  </cellXfs>
  <cellStyles count="4">
    <cellStyle name="Hyperlink" xfId="2" builtinId="8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49"/>
  <sheetViews>
    <sheetView tabSelected="1" workbookViewId="0">
      <pane xSplit="3" ySplit="3" topLeftCell="BB4" activePane="bottomRight" state="frozen"/>
      <selection pane="topRight" activeCell="D1" sqref="D1"/>
      <selection pane="bottomLeft" activeCell="A4" sqref="A4"/>
      <selection pane="bottomRight" activeCell="A8" sqref="A8"/>
    </sheetView>
  </sheetViews>
  <sheetFormatPr defaultRowHeight="15" x14ac:dyDescent="0.25"/>
  <cols>
    <col min="1" max="1" width="22" customWidth="1"/>
    <col min="2" max="2" width="35.28515625" customWidth="1"/>
    <col min="3" max="3" width="57.7109375" customWidth="1"/>
    <col min="4" max="4" width="3.42578125" customWidth="1"/>
    <col min="5" max="5" width="41.85546875" customWidth="1"/>
    <col min="6" max="6" width="20.5703125" customWidth="1"/>
    <col min="7" max="7" width="11.42578125" customWidth="1"/>
    <col min="8" max="8" width="12.85546875" customWidth="1"/>
    <col min="9" max="9" width="10.5703125" customWidth="1"/>
    <col min="10" max="10" width="15.7109375" customWidth="1"/>
    <col min="11" max="11" width="16.28515625" customWidth="1"/>
    <col min="12" max="12" width="3.42578125" customWidth="1"/>
    <col min="13" max="19" width="6.85546875" customWidth="1"/>
    <col min="20" max="20" width="3.42578125" customWidth="1"/>
    <col min="21" max="36" width="8" customWidth="1"/>
    <col min="37" max="37" width="3.42578125" customWidth="1"/>
    <col min="38" max="38" width="13.42578125" customWidth="1"/>
    <col min="39" max="39" width="9.140625" customWidth="1"/>
    <col min="40" max="40" width="3.42578125" customWidth="1"/>
    <col min="41" max="48" width="6.85546875" customWidth="1"/>
    <col min="49" max="49" width="3.42578125" customWidth="1"/>
    <col min="50" max="57" width="7.5703125" style="19" customWidth="1"/>
    <col min="58" max="58" width="3.42578125" style="15" customWidth="1"/>
    <col min="59" max="59" width="12.28515625" customWidth="1"/>
    <col min="60" max="61" width="10.85546875" customWidth="1"/>
    <col min="62" max="63" width="9.140625" customWidth="1"/>
    <col min="64" max="65" width="10.42578125" customWidth="1"/>
    <col min="66" max="66" width="3.42578125" style="15" customWidth="1"/>
  </cols>
  <sheetData>
    <row r="1" spans="1:70" ht="20.25" customHeight="1" x14ac:dyDescent="0.3">
      <c r="A1" s="5" t="s">
        <v>1437</v>
      </c>
      <c r="D1" s="6"/>
      <c r="E1" s="30" t="s">
        <v>1411</v>
      </c>
      <c r="F1" s="30"/>
      <c r="G1" s="30"/>
      <c r="H1" s="30"/>
      <c r="I1" s="30"/>
      <c r="J1" s="30"/>
      <c r="K1" s="30"/>
      <c r="L1" s="6"/>
      <c r="M1" s="32" t="s">
        <v>1418</v>
      </c>
      <c r="N1" s="32"/>
      <c r="O1" s="32"/>
      <c r="P1" s="32"/>
      <c r="Q1" s="32"/>
      <c r="R1" s="32"/>
      <c r="S1" s="32"/>
      <c r="T1" s="6"/>
      <c r="AK1" s="6"/>
      <c r="AL1" s="27" t="s">
        <v>1054</v>
      </c>
      <c r="AM1" s="27" t="s">
        <v>1055</v>
      </c>
      <c r="AN1" s="6"/>
      <c r="AO1" s="29" t="s">
        <v>1420</v>
      </c>
      <c r="AP1" s="29"/>
      <c r="AQ1" s="29"/>
      <c r="AR1" s="29"/>
      <c r="AS1" s="29"/>
      <c r="AT1" s="29"/>
      <c r="AU1" s="29"/>
      <c r="AV1" s="29"/>
      <c r="AW1" s="6"/>
      <c r="AX1" s="29" t="s">
        <v>1421</v>
      </c>
      <c r="AY1" s="29"/>
      <c r="AZ1" s="29"/>
      <c r="BA1" s="29"/>
      <c r="BB1" s="29"/>
      <c r="BC1" s="29"/>
      <c r="BD1" s="29"/>
      <c r="BE1" s="29"/>
      <c r="BF1" s="13"/>
      <c r="BG1" s="34" t="s">
        <v>1110</v>
      </c>
      <c r="BH1" s="34"/>
      <c r="BI1" s="34"/>
      <c r="BJ1" s="34"/>
      <c r="BK1" s="34"/>
      <c r="BL1" s="34"/>
      <c r="BM1" s="34"/>
      <c r="BN1" s="13"/>
      <c r="BO1" s="23" t="s">
        <v>1422</v>
      </c>
      <c r="BP1" s="23"/>
      <c r="BQ1" s="23"/>
      <c r="BR1" s="21" t="s">
        <v>1435</v>
      </c>
    </row>
    <row r="2" spans="1:70" x14ac:dyDescent="0.25">
      <c r="D2" s="6"/>
      <c r="E2" s="31" t="s">
        <v>1413</v>
      </c>
      <c r="F2" s="31"/>
      <c r="H2" s="33" t="s">
        <v>1052</v>
      </c>
      <c r="I2" s="33"/>
      <c r="J2" s="33"/>
      <c r="K2" s="33"/>
      <c r="L2" s="6"/>
      <c r="M2" t="s">
        <v>967</v>
      </c>
      <c r="N2" t="s">
        <v>968</v>
      </c>
      <c r="O2" t="s">
        <v>969</v>
      </c>
      <c r="P2" t="s">
        <v>970</v>
      </c>
      <c r="Q2" s="1" t="s">
        <v>1436</v>
      </c>
      <c r="R2" s="1" t="s">
        <v>971</v>
      </c>
      <c r="S2" t="s">
        <v>972</v>
      </c>
      <c r="T2" s="6"/>
      <c r="U2" s="24" t="s">
        <v>1056</v>
      </c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6"/>
      <c r="AL2" s="27"/>
      <c r="AM2" s="27"/>
      <c r="AN2" s="6"/>
      <c r="AO2" s="25" t="s">
        <v>1423</v>
      </c>
      <c r="AP2" s="25"/>
      <c r="AQ2" s="25"/>
      <c r="AR2" s="25"/>
      <c r="AS2" s="25"/>
      <c r="AT2" s="25"/>
      <c r="AU2" s="25"/>
      <c r="AV2" s="25"/>
      <c r="AW2" s="6"/>
      <c r="AX2" s="26" t="s">
        <v>1423</v>
      </c>
      <c r="AY2" s="26"/>
      <c r="AZ2" s="26"/>
      <c r="BA2" s="26"/>
      <c r="BB2" s="26"/>
      <c r="BC2" s="26"/>
      <c r="BD2" s="26"/>
      <c r="BE2" s="26"/>
      <c r="BF2" s="13"/>
      <c r="BG2" t="s">
        <v>1111</v>
      </c>
      <c r="BH2" t="s">
        <v>1112</v>
      </c>
      <c r="BI2" t="s">
        <v>1113</v>
      </c>
      <c r="BJ2" t="s">
        <v>1114</v>
      </c>
      <c r="BK2" s="14" t="s">
        <v>1115</v>
      </c>
      <c r="BL2" t="s">
        <v>1116</v>
      </c>
      <c r="BM2" t="s">
        <v>1117</v>
      </c>
      <c r="BN2" s="13"/>
      <c r="BO2" t="s">
        <v>1424</v>
      </c>
      <c r="BP2" t="s">
        <v>1425</v>
      </c>
      <c r="BQ2" t="s">
        <v>1426</v>
      </c>
    </row>
    <row r="3" spans="1:70" ht="30" x14ac:dyDescent="0.25">
      <c r="A3" s="2" t="s">
        <v>965</v>
      </c>
      <c r="B3" t="s">
        <v>0</v>
      </c>
      <c r="C3" t="s">
        <v>1</v>
      </c>
      <c r="D3" s="6"/>
      <c r="E3" s="2" t="s">
        <v>1053</v>
      </c>
      <c r="F3" s="2" t="s">
        <v>1412</v>
      </c>
      <c r="G3" s="2" t="s">
        <v>966</v>
      </c>
      <c r="H3" s="7" t="s">
        <v>1416</v>
      </c>
      <c r="I3" s="7" t="s">
        <v>1417</v>
      </c>
      <c r="J3" s="2" t="s">
        <v>1415</v>
      </c>
      <c r="K3" s="2" t="s">
        <v>1414</v>
      </c>
      <c r="L3" s="6"/>
      <c r="M3">
        <f t="shared" ref="M3:S3" si="0">SUM(M$4:M$545)</f>
        <v>44</v>
      </c>
      <c r="N3">
        <f t="shared" si="0"/>
        <v>98</v>
      </c>
      <c r="O3">
        <f t="shared" si="0"/>
        <v>180</v>
      </c>
      <c r="P3">
        <f t="shared" si="0"/>
        <v>170</v>
      </c>
      <c r="Q3">
        <f t="shared" si="0"/>
        <v>30</v>
      </c>
      <c r="R3">
        <f t="shared" si="0"/>
        <v>27</v>
      </c>
      <c r="S3">
        <f t="shared" si="0"/>
        <v>69</v>
      </c>
      <c r="T3" s="6"/>
      <c r="U3" s="10" t="s">
        <v>1057</v>
      </c>
      <c r="V3" s="10" t="s">
        <v>1058</v>
      </c>
      <c r="W3" s="10" t="s">
        <v>1059</v>
      </c>
      <c r="X3" s="10" t="s">
        <v>1060</v>
      </c>
      <c r="Y3" s="10" t="s">
        <v>1061</v>
      </c>
      <c r="Z3" s="10" t="s">
        <v>1062</v>
      </c>
      <c r="AA3" s="10" t="s">
        <v>1063</v>
      </c>
      <c r="AB3" s="10" t="s">
        <v>1064</v>
      </c>
      <c r="AC3" s="10" t="s">
        <v>1065</v>
      </c>
      <c r="AD3" s="10" t="s">
        <v>1066</v>
      </c>
      <c r="AE3" s="10" t="s">
        <v>1067</v>
      </c>
      <c r="AF3" s="10" t="s">
        <v>1068</v>
      </c>
      <c r="AG3" s="10" t="s">
        <v>1069</v>
      </c>
      <c r="AH3" s="10" t="s">
        <v>1070</v>
      </c>
      <c r="AI3" s="10" t="s">
        <v>1071</v>
      </c>
      <c r="AJ3" s="10" t="s">
        <v>1072</v>
      </c>
      <c r="AK3" s="6"/>
      <c r="AL3" s="28"/>
      <c r="AM3" s="27"/>
      <c r="AN3" s="6"/>
      <c r="AO3" s="16" t="s">
        <v>1427</v>
      </c>
      <c r="AP3" s="16" t="s">
        <v>1428</v>
      </c>
      <c r="AQ3" s="16" t="s">
        <v>1429</v>
      </c>
      <c r="AR3" s="16" t="s">
        <v>1430</v>
      </c>
      <c r="AS3" s="16" t="s">
        <v>1431</v>
      </c>
      <c r="AT3" s="16" t="s">
        <v>1432</v>
      </c>
      <c r="AU3" s="16" t="s">
        <v>1433</v>
      </c>
      <c r="AV3" s="16" t="s">
        <v>1434</v>
      </c>
      <c r="AW3" s="6"/>
      <c r="AX3" s="17" t="s">
        <v>1427</v>
      </c>
      <c r="AY3" s="17" t="s">
        <v>1428</v>
      </c>
      <c r="AZ3" s="17" t="s">
        <v>1429</v>
      </c>
      <c r="BA3" s="17" t="s">
        <v>1430</v>
      </c>
      <c r="BB3" s="17" t="s">
        <v>1431</v>
      </c>
      <c r="BC3" s="17" t="s">
        <v>1432</v>
      </c>
      <c r="BD3" s="17" t="s">
        <v>1433</v>
      </c>
      <c r="BE3" s="17" t="s">
        <v>1434</v>
      </c>
      <c r="BF3" s="13"/>
      <c r="BG3" s="14" t="s">
        <v>1118</v>
      </c>
      <c r="BH3" s="14" t="s">
        <v>1119</v>
      </c>
      <c r="BI3" s="14" t="s">
        <v>1120</v>
      </c>
      <c r="BJ3" s="14" t="s">
        <v>1121</v>
      </c>
      <c r="BK3" s="14" t="s">
        <v>1122</v>
      </c>
      <c r="BL3" s="14" t="s">
        <v>1123</v>
      </c>
      <c r="BM3" s="14" t="s">
        <v>1124</v>
      </c>
      <c r="BN3" s="13"/>
      <c r="BO3">
        <f>SUM(BO4:BO545)</f>
        <v>3</v>
      </c>
      <c r="BP3">
        <f>SUM(BP4:BP545)</f>
        <v>64</v>
      </c>
      <c r="BQ3">
        <f>SUM(BQ4:BQ545)</f>
        <v>13</v>
      </c>
      <c r="BR3">
        <f>SUM(BR4:BR545)</f>
        <v>2</v>
      </c>
    </row>
    <row r="4" spans="1:70" x14ac:dyDescent="0.25">
      <c r="A4" t="s">
        <v>869</v>
      </c>
      <c r="B4" t="s">
        <v>870</v>
      </c>
      <c r="C4" t="s">
        <v>871</v>
      </c>
      <c r="D4" s="6"/>
      <c r="E4" s="9" t="str">
        <f>HYPERLINK("http://plants.ensembl.org/Triticum_aestivum/Gene/Summary?g=TRIAE_CS42_7AL_TGACv1_560239_AA1801960","TRIAE_CS42_7AL_TGACv1_560239_AA1801960")</f>
        <v>TRIAE_CS42_7AL_TGACv1_560239_AA1801960</v>
      </c>
      <c r="F4" s="9" t="str">
        <f>HYPERLINK("http://mar2016-plants.ensembl.org/Triticum_aestivum/Gene/Summary?db=core;g=Traes_7AL_4835DC1DE","Traes_7AL_4835DC1DE")</f>
        <v>Traes_7AL_4835DC1DE</v>
      </c>
      <c r="G4" t="s">
        <v>1038</v>
      </c>
      <c r="H4" s="8" t="str">
        <f>HYPERLINK("http://plants.ensembl.org/Brachypodium_distachyon/Gene/Summary?g=Bradi3g37650","Bradi3g37650")</f>
        <v>Bradi3g37650</v>
      </c>
      <c r="I4" s="8" t="str">
        <f>HYPERLINK("http://plants.ensembl.org/Arabidopsis_thaliana/Gene/Summary?g=AT2G06050","AT2G06050")</f>
        <v>AT2G06050</v>
      </c>
      <c r="J4" s="9" t="str">
        <f>HYPERLINK("http://plants.ensembl.org/Oryza_sativa/Gene/Summary?db=otherfeatures;g=LOC_Os08g35740","LOC_Os08g35740")</f>
        <v>LOC_Os08g35740</v>
      </c>
      <c r="K4" s="9" t="str">
        <f>HYPERLINK("http://plants.ensembl.org/Zea_mays/Gene/Summary?db=otherfeatures;g=GRMZM2G082087","GRMZM2G082087")</f>
        <v>GRMZM2G082087</v>
      </c>
      <c r="L4" s="6"/>
      <c r="M4" t="s">
        <v>973</v>
      </c>
      <c r="N4">
        <v>1</v>
      </c>
      <c r="O4">
        <v>1</v>
      </c>
      <c r="P4">
        <v>1</v>
      </c>
      <c r="S4">
        <v>1</v>
      </c>
      <c r="T4" s="6"/>
      <c r="U4" s="11">
        <v>8.8861245431654119</v>
      </c>
      <c r="V4" s="11">
        <v>8.9988293078562869</v>
      </c>
      <c r="W4" s="11">
        <v>8.4810227904197149</v>
      </c>
      <c r="X4" s="11">
        <v>8.5619630181269297</v>
      </c>
      <c r="Y4" s="11">
        <v>8.4353571742955324</v>
      </c>
      <c r="Z4" s="11">
        <v>8.2102685504146091</v>
      </c>
      <c r="AA4" s="11">
        <v>8.6951998665848471</v>
      </c>
      <c r="AB4" s="11">
        <v>8.5146531763169122</v>
      </c>
      <c r="AC4" s="11">
        <v>7.7733658431782242</v>
      </c>
      <c r="AD4" s="11">
        <v>8.0614817252846152</v>
      </c>
      <c r="AE4" s="11">
        <v>7.9343045793761737</v>
      </c>
      <c r="AF4" s="11">
        <v>7.9888991817817345</v>
      </c>
      <c r="AG4" s="11">
        <v>7.7179866319723702</v>
      </c>
      <c r="AH4" s="11">
        <v>7.6697236540288287</v>
      </c>
      <c r="AI4" s="11">
        <v>7.8030136564627002</v>
      </c>
      <c r="AJ4" s="11">
        <v>7.9094267069633881</v>
      </c>
      <c r="AK4" s="6"/>
      <c r="AL4" t="s">
        <v>1077</v>
      </c>
      <c r="AM4">
        <v>265</v>
      </c>
      <c r="AN4" s="6"/>
      <c r="AO4" s="20">
        <v>1.1261000000000001</v>
      </c>
      <c r="AP4" s="20">
        <v>0.95309999999999995</v>
      </c>
      <c r="AQ4" s="20">
        <v>0.54690000000000005</v>
      </c>
      <c r="AR4" s="20">
        <v>0.57679999999999998</v>
      </c>
      <c r="AS4" s="20">
        <v>0.71579999999999999</v>
      </c>
      <c r="AT4" s="20">
        <v>0.54390000000000005</v>
      </c>
      <c r="AU4" s="20">
        <v>0.89239999999999997</v>
      </c>
      <c r="AV4" s="20">
        <v>0.60509999999999997</v>
      </c>
      <c r="AW4" s="6"/>
      <c r="AX4" s="18">
        <v>1.5340000000000001E-7</v>
      </c>
      <c r="AY4" s="18">
        <v>2.9689999999999999E-5</v>
      </c>
      <c r="AZ4" s="18">
        <v>8.6899999999999998E-3</v>
      </c>
      <c r="BA4" s="18">
        <v>5.816E-3</v>
      </c>
      <c r="BB4" s="18">
        <v>5.8370000000000004E-4</v>
      </c>
      <c r="BC4" s="18">
        <v>1.0019999999999999E-2</v>
      </c>
      <c r="BD4" s="18">
        <v>1.7589999999999999E-5</v>
      </c>
      <c r="BE4" s="18">
        <v>3.8049999999999998E-3</v>
      </c>
      <c r="BF4" s="13"/>
      <c r="BG4" t="s">
        <v>1146</v>
      </c>
      <c r="BH4" t="s">
        <v>1112</v>
      </c>
      <c r="BI4" t="s">
        <v>1113</v>
      </c>
      <c r="BJ4" t="s">
        <v>1114</v>
      </c>
      <c r="BK4" t="s">
        <v>1115</v>
      </c>
      <c r="BL4" t="s">
        <v>1116</v>
      </c>
      <c r="BM4" t="s">
        <v>1117</v>
      </c>
      <c r="BN4" s="13"/>
      <c r="BO4" t="s">
        <v>973</v>
      </c>
      <c r="BP4" t="s">
        <v>973</v>
      </c>
      <c r="BQ4" t="s">
        <v>973</v>
      </c>
      <c r="BR4" t="s">
        <v>973</v>
      </c>
    </row>
    <row r="5" spans="1:70" x14ac:dyDescent="0.25">
      <c r="A5" t="s">
        <v>250</v>
      </c>
      <c r="B5" t="s">
        <v>125</v>
      </c>
      <c r="C5" t="s">
        <v>101</v>
      </c>
      <c r="D5" s="6"/>
      <c r="E5" s="9" t="str">
        <f>HYPERLINK("http://plants.ensembl.org/Triticum_aestivum/Gene/Summary?g=TRIAE_CS42_2DS_TGACv1_177437_AA0577110","TRIAE_CS42_2DS_TGACv1_177437_AA0577110")</f>
        <v>TRIAE_CS42_2DS_TGACv1_177437_AA0577110</v>
      </c>
      <c r="F5" s="9" t="str">
        <f>HYPERLINK("http://mar2016-plants.ensembl.org/Triticum_aestivum/Gene/Summary?db=core;g=Traes_2DS_92645528E","Traes_2DS_92645528E")</f>
        <v>Traes_2DS_92645528E</v>
      </c>
      <c r="G5" t="s">
        <v>993</v>
      </c>
      <c r="H5" s="1" t="s">
        <v>1051</v>
      </c>
      <c r="I5" s="1" t="s">
        <v>1051</v>
      </c>
      <c r="J5" s="1" t="s">
        <v>1051</v>
      </c>
      <c r="L5" s="6"/>
      <c r="M5" t="s">
        <v>973</v>
      </c>
      <c r="N5">
        <v>1</v>
      </c>
      <c r="O5" t="s">
        <v>973</v>
      </c>
      <c r="P5" t="s">
        <v>973</v>
      </c>
      <c r="S5" t="s">
        <v>973</v>
      </c>
      <c r="T5" s="6"/>
      <c r="U5" s="11">
        <v>9.2522570052268485</v>
      </c>
      <c r="V5" s="11">
        <v>8.6672014489275764</v>
      </c>
      <c r="W5" s="11">
        <v>7.9794815967691157</v>
      </c>
      <c r="X5" s="11">
        <v>7.5626270916119367</v>
      </c>
      <c r="Y5" s="11">
        <v>8.4821378367963689</v>
      </c>
      <c r="Z5" s="11">
        <v>7.8299937037830443</v>
      </c>
      <c r="AA5" s="11">
        <v>7.9843178131883628</v>
      </c>
      <c r="AB5" s="11">
        <v>7.4953436653980114</v>
      </c>
      <c r="AC5" s="11">
        <v>5.1581350227924601</v>
      </c>
      <c r="AD5" s="11">
        <v>3.6703116133141287</v>
      </c>
      <c r="AE5" s="11">
        <v>5.1333319898978855</v>
      </c>
      <c r="AF5" s="11">
        <v>4.7003860784821621</v>
      </c>
      <c r="AG5" s="11">
        <v>4.3008680705664206</v>
      </c>
      <c r="AH5" s="11">
        <v>3.7547628194266522</v>
      </c>
      <c r="AI5" s="11">
        <v>4.3269447503352509</v>
      </c>
      <c r="AJ5" s="11">
        <v>3.7403555483778264</v>
      </c>
      <c r="AK5" s="6"/>
      <c r="AL5" t="s">
        <v>1077</v>
      </c>
      <c r="AM5">
        <v>1342</v>
      </c>
      <c r="AN5" s="6"/>
      <c r="AO5" s="20">
        <v>4.0857000000000001</v>
      </c>
      <c r="AP5" s="20">
        <v>4.8799000000000001</v>
      </c>
      <c r="AQ5" s="20">
        <v>2.8327</v>
      </c>
      <c r="AR5" s="20">
        <v>2.8273000000000001</v>
      </c>
      <c r="AS5" s="20">
        <v>4.1752000000000002</v>
      </c>
      <c r="AT5" s="20">
        <v>4.0853000000000002</v>
      </c>
      <c r="AU5" s="20">
        <v>3.6562999999999999</v>
      </c>
      <c r="AV5" s="20">
        <v>3.7791999999999999</v>
      </c>
      <c r="AW5" s="6"/>
      <c r="AX5" s="18">
        <v>2.2679999999999999E-11</v>
      </c>
      <c r="AY5" s="18">
        <v>7.452E-13</v>
      </c>
      <c r="AZ5" s="18">
        <v>3.2109999999999998E-6</v>
      </c>
      <c r="BA5" s="18">
        <v>4.2899999999999996E-6</v>
      </c>
      <c r="BB5" s="18">
        <v>8.1639999999999995E-12</v>
      </c>
      <c r="BC5" s="18">
        <v>1.0300000000000001E-10</v>
      </c>
      <c r="BD5" s="18">
        <v>3.0370000000000002E-9</v>
      </c>
      <c r="BE5" s="18">
        <v>1.813E-9</v>
      </c>
      <c r="BF5" s="13"/>
      <c r="BG5" t="s">
        <v>1131</v>
      </c>
      <c r="BH5" t="s">
        <v>1112</v>
      </c>
      <c r="BI5" t="s">
        <v>1113</v>
      </c>
      <c r="BJ5" t="s">
        <v>1114</v>
      </c>
      <c r="BK5" t="s">
        <v>1115</v>
      </c>
      <c r="BL5" t="s">
        <v>1116</v>
      </c>
      <c r="BM5" t="s">
        <v>1117</v>
      </c>
      <c r="BN5" s="13"/>
      <c r="BO5" t="s">
        <v>973</v>
      </c>
      <c r="BP5" t="s">
        <v>973</v>
      </c>
      <c r="BQ5" t="s">
        <v>973</v>
      </c>
      <c r="BR5" t="s">
        <v>973</v>
      </c>
    </row>
    <row r="6" spans="1:70" x14ac:dyDescent="0.25">
      <c r="A6" t="s">
        <v>900</v>
      </c>
      <c r="B6" t="s">
        <v>155</v>
      </c>
      <c r="C6" t="s">
        <v>101</v>
      </c>
      <c r="D6" s="6"/>
      <c r="E6" s="9" t="str">
        <f>HYPERLINK("http://plants.ensembl.org/Triticum_aestivum/Gene/Summary?g=TRIAE_CS42_7BS_TGACv1_592120_AA1931070","TRIAE_CS42_7BS_TGACv1_592120_AA1931070")</f>
        <v>TRIAE_CS42_7BS_TGACv1_592120_AA1931070</v>
      </c>
      <c r="G6" t="s">
        <v>1049</v>
      </c>
      <c r="H6" s="8" t="str">
        <f>HYPERLINK("http://plants.ensembl.org/Brachypodium_distachyon/Gene/Summary?g=Bradi1g45880","Bradi1g45880")</f>
        <v>Bradi1g45880</v>
      </c>
      <c r="I6" s="1" t="s">
        <v>1051</v>
      </c>
      <c r="J6" s="9" t="str">
        <f>HYPERLINK("http://plants.ensembl.org/Oryza_sativa/Gene/Summary?db=otherfeatures;g=LOC_Os06g11210","LOC_Os06g11210")</f>
        <v>LOC_Os06g11210</v>
      </c>
      <c r="L6" s="6"/>
      <c r="M6" t="s">
        <v>973</v>
      </c>
      <c r="N6">
        <v>1</v>
      </c>
      <c r="O6" t="s">
        <v>973</v>
      </c>
      <c r="P6" t="s">
        <v>973</v>
      </c>
      <c r="S6" t="s">
        <v>973</v>
      </c>
      <c r="T6" s="6"/>
      <c r="U6" s="11">
        <v>11.392859762712806</v>
      </c>
      <c r="V6" s="11">
        <v>12.623853399242433</v>
      </c>
      <c r="W6" s="11">
        <v>9.2601225194663144</v>
      </c>
      <c r="X6" s="11">
        <v>10.453432490786755</v>
      </c>
      <c r="Y6" s="11">
        <v>9.4901177466077371</v>
      </c>
      <c r="Z6" s="11">
        <v>9.4661093708547526</v>
      </c>
      <c r="AA6" s="11">
        <v>8.7454454239985573</v>
      </c>
      <c r="AB6" s="11">
        <v>10.1467997514817</v>
      </c>
      <c r="AC6" s="11">
        <v>6.0761621397741523</v>
      </c>
      <c r="AD6" s="11">
        <v>3.5614972210198155</v>
      </c>
      <c r="AE6" s="11">
        <v>5.7347367128360656</v>
      </c>
      <c r="AF6" s="11">
        <v>4.8011776297200672</v>
      </c>
      <c r="AG6" s="11">
        <v>4.3977185512392696</v>
      </c>
      <c r="AH6" s="11">
        <v>3.6443177783375775</v>
      </c>
      <c r="AI6" s="11">
        <v>6.2516244244710855</v>
      </c>
      <c r="AJ6" s="11">
        <v>5.3372972033265063</v>
      </c>
      <c r="AK6" s="6"/>
      <c r="AL6" t="s">
        <v>1077</v>
      </c>
      <c r="AM6">
        <v>559</v>
      </c>
      <c r="AN6" s="6"/>
      <c r="AO6" s="20">
        <v>5.2832999999999997</v>
      </c>
      <c r="AP6" s="20">
        <v>8.9475999999999996</v>
      </c>
      <c r="AQ6" s="20">
        <v>3.5141</v>
      </c>
      <c r="AR6" s="20">
        <v>5.6336000000000004</v>
      </c>
      <c r="AS6" s="20">
        <v>5.1041999999999996</v>
      </c>
      <c r="AT6" s="20">
        <v>5.8474000000000004</v>
      </c>
      <c r="AU6" s="20">
        <v>2.4815999999999998</v>
      </c>
      <c r="AV6" s="20">
        <v>4.7899000000000003</v>
      </c>
      <c r="AW6" s="6"/>
      <c r="AX6" s="18">
        <v>1.7390000000000001E-28</v>
      </c>
      <c r="AY6" s="18">
        <v>1.177E-56</v>
      </c>
      <c r="AZ6" s="18">
        <v>2.0140000000000001E-13</v>
      </c>
      <c r="BA6" s="18">
        <v>1.2319999999999999E-30</v>
      </c>
      <c r="BB6" s="18">
        <v>8.5539999999999994E-26</v>
      </c>
      <c r="BC6" s="18">
        <v>1.3339999999999999E-29</v>
      </c>
      <c r="BD6" s="18">
        <v>1.741E-7</v>
      </c>
      <c r="BE6" s="18">
        <v>2.1819999999999999E-23</v>
      </c>
      <c r="BF6" s="13"/>
      <c r="BG6" t="s">
        <v>1131</v>
      </c>
      <c r="BH6" t="s">
        <v>1132</v>
      </c>
      <c r="BI6" t="s">
        <v>1113</v>
      </c>
      <c r="BJ6" t="s">
        <v>1233</v>
      </c>
      <c r="BK6" t="s">
        <v>1115</v>
      </c>
      <c r="BL6" t="s">
        <v>1116</v>
      </c>
      <c r="BM6" t="s">
        <v>1117</v>
      </c>
      <c r="BN6" s="13"/>
      <c r="BO6" t="s">
        <v>973</v>
      </c>
      <c r="BP6" t="s">
        <v>973</v>
      </c>
      <c r="BQ6" t="s">
        <v>973</v>
      </c>
      <c r="BR6" t="s">
        <v>973</v>
      </c>
    </row>
    <row r="7" spans="1:70" x14ac:dyDescent="0.25">
      <c r="A7" t="s">
        <v>937</v>
      </c>
      <c r="B7" t="s">
        <v>125</v>
      </c>
      <c r="C7" t="s">
        <v>101</v>
      </c>
      <c r="D7" s="6"/>
      <c r="E7" s="9" t="str">
        <f>HYPERLINK("http://plants.ensembl.org/Triticum_aestivum/Gene/Summary?g=TRIAE_CS42_7DS_TGACv1_622427_AA2039540","TRIAE_CS42_7DS_TGACv1_622427_AA2039540")</f>
        <v>TRIAE_CS42_7DS_TGACv1_622427_AA2039540</v>
      </c>
      <c r="G7" t="s">
        <v>1049</v>
      </c>
      <c r="H7" s="8" t="str">
        <f>HYPERLINK("http://plants.ensembl.org/Brachypodium_distachyon/Gene/Summary?g=Bradi1g45880","Bradi1g45880")</f>
        <v>Bradi1g45880</v>
      </c>
      <c r="I7" s="1" t="s">
        <v>1051</v>
      </c>
      <c r="J7" s="9" t="str">
        <f>HYPERLINK("http://plants.ensembl.org/Oryza_sativa/Gene/Summary?db=otherfeatures;g=LOC_Os06g11210","LOC_Os06g11210")</f>
        <v>LOC_Os06g11210</v>
      </c>
      <c r="L7" s="6"/>
      <c r="M7" t="s">
        <v>973</v>
      </c>
      <c r="N7">
        <v>1</v>
      </c>
      <c r="O7" t="s">
        <v>973</v>
      </c>
      <c r="P7" t="s">
        <v>973</v>
      </c>
      <c r="S7" t="s">
        <v>973</v>
      </c>
      <c r="T7" s="6"/>
      <c r="U7" s="11">
        <v>11.261366245320206</v>
      </c>
      <c r="V7" s="11">
        <v>12.31675001096391</v>
      </c>
      <c r="W7" s="11">
        <v>9.2085497736610176</v>
      </c>
      <c r="X7" s="11">
        <v>10.683562861998675</v>
      </c>
      <c r="Y7" s="11">
        <v>9.3149394464696975</v>
      </c>
      <c r="Z7" s="11">
        <v>9.6033521203310546</v>
      </c>
      <c r="AA7" s="11">
        <v>8.9125592545445418</v>
      </c>
      <c r="AB7" s="11">
        <v>10.487060339192709</v>
      </c>
      <c r="AC7" s="11">
        <v>4.7181588399345724</v>
      </c>
      <c r="AD7" s="11">
        <v>4.8304378808870316</v>
      </c>
      <c r="AE7" s="11">
        <v>4.4126708918994186</v>
      </c>
      <c r="AF7" s="11">
        <v>4.2992544281479335</v>
      </c>
      <c r="AG7" s="11">
        <v>3.7244792916900216</v>
      </c>
      <c r="AH7" s="11">
        <v>3.9276088971519925</v>
      </c>
      <c r="AI7" s="11">
        <v>4.726658678985407</v>
      </c>
      <c r="AJ7" s="11">
        <v>4.8922193819497171</v>
      </c>
      <c r="AK7" s="6"/>
      <c r="AL7" t="s">
        <v>1077</v>
      </c>
      <c r="AM7">
        <v>1991</v>
      </c>
      <c r="AN7" s="6"/>
      <c r="AO7" s="20">
        <v>6.5221999999999998</v>
      </c>
      <c r="AP7" s="20">
        <v>7.4973999999999998</v>
      </c>
      <c r="AQ7" s="20">
        <v>4.7967000000000004</v>
      </c>
      <c r="AR7" s="20">
        <v>6.3882000000000003</v>
      </c>
      <c r="AS7" s="20">
        <v>5.6280999999999999</v>
      </c>
      <c r="AT7" s="20">
        <v>5.6933999999999996</v>
      </c>
      <c r="AU7" s="20">
        <v>4.1767000000000003</v>
      </c>
      <c r="AV7" s="20">
        <v>5.5678000000000001</v>
      </c>
      <c r="AW7" s="6"/>
      <c r="AX7" s="18">
        <v>6.5929999999999995E-35</v>
      </c>
      <c r="AY7" s="18">
        <v>4.6230000000000003E-41</v>
      </c>
      <c r="AZ7" s="18">
        <v>1.575E-19</v>
      </c>
      <c r="BA7" s="18">
        <v>7.8819999999999995E-33</v>
      </c>
      <c r="BB7" s="18">
        <v>5.1780000000000005E-26</v>
      </c>
      <c r="BC7" s="18">
        <v>1.3410000000000001E-25</v>
      </c>
      <c r="BD7" s="18">
        <v>1.809E-15</v>
      </c>
      <c r="BE7" s="18">
        <v>1.647E-26</v>
      </c>
      <c r="BF7" s="13"/>
      <c r="BG7" t="s">
        <v>1131</v>
      </c>
      <c r="BH7" t="s">
        <v>1132</v>
      </c>
      <c r="BI7" t="s">
        <v>1113</v>
      </c>
      <c r="BJ7" t="s">
        <v>1267</v>
      </c>
      <c r="BK7" t="s">
        <v>1115</v>
      </c>
      <c r="BL7" t="s">
        <v>1116</v>
      </c>
      <c r="BM7" t="s">
        <v>1117</v>
      </c>
      <c r="BN7" s="13"/>
      <c r="BO7" t="s">
        <v>973</v>
      </c>
      <c r="BP7" t="s">
        <v>973</v>
      </c>
      <c r="BQ7" t="s">
        <v>973</v>
      </c>
      <c r="BR7" t="s">
        <v>973</v>
      </c>
    </row>
    <row r="8" spans="1:70" x14ac:dyDescent="0.25">
      <c r="A8" t="s">
        <v>164</v>
      </c>
      <c r="B8" t="s">
        <v>165</v>
      </c>
      <c r="C8" t="s">
        <v>166</v>
      </c>
      <c r="D8" s="6"/>
      <c r="E8" s="9" t="str">
        <f>HYPERLINK("http://plants.ensembl.org/Triticum_aestivum/Gene/Summary?g=TRIAE_CS42_U_TGACv1_642009_AA2109330","TRIAE_CS42_U_TGACv1_642009_AA2109330")</f>
        <v>TRIAE_CS42_U_TGACv1_642009_AA2109330</v>
      </c>
      <c r="F8" s="9" t="str">
        <f>HYPERLINK("http://mar2016-plants.ensembl.org/Triticum_aestivum/Gene/Summary?db=core;g=Traes_2AL_38321026D","Traes_2AL_38321026D")</f>
        <v>Traes_2AL_38321026D</v>
      </c>
      <c r="G8" t="s">
        <v>984</v>
      </c>
      <c r="H8" s="8" t="str">
        <f>HYPERLINK("http://plants.ensembl.org/Brachypodium_distachyon/Gene/Summary?g=Bradi5g19100","Bradi5g19100")</f>
        <v>Bradi5g19100</v>
      </c>
      <c r="I8" s="8" t="str">
        <f>HYPERLINK("http://plants.ensembl.org/Arabidopsis_thaliana/Gene/Summary?g=AT4G11280","AT4G11280")</f>
        <v>AT4G11280</v>
      </c>
      <c r="J8" s="9" t="str">
        <f>HYPERLINK("http://plants.ensembl.org/Oryza_sativa/Gene/Summary?db=otherfeatures;g=LOC_Os04g48850","LOC_Os04g48850")</f>
        <v>LOC_Os04g48850</v>
      </c>
      <c r="K8" s="9" t="str">
        <f>HYPERLINK("http://plants.ensembl.org/Zea_mays/Gene/Summary?db=otherfeatures;g=GRMZM5G894619","GRMZM5G894619")</f>
        <v>GRMZM5G894619</v>
      </c>
      <c r="L8" s="6"/>
      <c r="M8" t="s">
        <v>973</v>
      </c>
      <c r="N8" t="s">
        <v>973</v>
      </c>
      <c r="O8">
        <v>1</v>
      </c>
      <c r="P8" t="s">
        <v>973</v>
      </c>
      <c r="S8" t="s">
        <v>973</v>
      </c>
      <c r="T8" s="6"/>
      <c r="U8" s="11">
        <v>10.945958539892798</v>
      </c>
      <c r="V8" s="11">
        <v>11.480044161484395</v>
      </c>
      <c r="W8" s="11">
        <v>9.0285405138560986</v>
      </c>
      <c r="X8" s="11">
        <v>9.3907176206561882</v>
      </c>
      <c r="Y8" s="11">
        <v>9.3276145420425483</v>
      </c>
      <c r="Z8" s="11">
        <v>8.9864780622450908</v>
      </c>
      <c r="AA8" s="11">
        <v>9.0312965803641969</v>
      </c>
      <c r="AB8" s="11">
        <v>8.8974329536137482</v>
      </c>
      <c r="AC8" s="11">
        <v>6.6813147911742474</v>
      </c>
      <c r="AD8" s="11">
        <v>5.2473819703430848</v>
      </c>
      <c r="AE8" s="11">
        <v>5.2377587259366942</v>
      </c>
      <c r="AF8" s="11">
        <v>4.8818799308707614</v>
      </c>
      <c r="AG8" s="11">
        <v>6.388699855951061</v>
      </c>
      <c r="AH8" s="11">
        <v>4.8199848877282658</v>
      </c>
      <c r="AI8" s="11">
        <v>6.1913612973138354</v>
      </c>
      <c r="AJ8" s="11">
        <v>5.4553666780908747</v>
      </c>
      <c r="AK8" s="6"/>
      <c r="AL8" t="s">
        <v>1077</v>
      </c>
      <c r="AM8">
        <v>798</v>
      </c>
      <c r="AN8" s="6"/>
      <c r="AO8" s="20">
        <v>4.2095000000000002</v>
      </c>
      <c r="AP8" s="20">
        <v>6.0396999999999998</v>
      </c>
      <c r="AQ8" s="20">
        <v>3.7536</v>
      </c>
      <c r="AR8" s="20">
        <v>4.4352999999999998</v>
      </c>
      <c r="AS8" s="20">
        <v>2.8980999999999999</v>
      </c>
      <c r="AT8" s="20">
        <v>4.1333000000000002</v>
      </c>
      <c r="AU8" s="20">
        <v>2.8033999999999999</v>
      </c>
      <c r="AV8" s="20">
        <v>3.407</v>
      </c>
      <c r="AW8" s="6"/>
      <c r="AX8" s="18">
        <v>3.3399999999999999E-12</v>
      </c>
      <c r="AY8" s="18">
        <v>1.616E-21</v>
      </c>
      <c r="AZ8" s="18">
        <v>8.1010000000000003E-10</v>
      </c>
      <c r="BA8" s="18">
        <v>5.7399999999999998E-13</v>
      </c>
      <c r="BB8" s="18">
        <v>1.5510000000000001E-6</v>
      </c>
      <c r="BC8" s="18">
        <v>2.0489999999999999E-11</v>
      </c>
      <c r="BD8" s="18">
        <v>3.6270000000000002E-6</v>
      </c>
      <c r="BE8" s="18">
        <v>2.2519999999999999E-8</v>
      </c>
      <c r="BF8" s="13"/>
      <c r="BG8" t="s">
        <v>1131</v>
      </c>
      <c r="BH8" t="s">
        <v>1132</v>
      </c>
      <c r="BI8" t="s">
        <v>1113</v>
      </c>
      <c r="BJ8" t="s">
        <v>1114</v>
      </c>
      <c r="BK8" t="s">
        <v>1115</v>
      </c>
      <c r="BL8" t="s">
        <v>1116</v>
      </c>
      <c r="BM8" t="s">
        <v>1117</v>
      </c>
      <c r="BN8" s="13"/>
      <c r="BO8" t="s">
        <v>973</v>
      </c>
      <c r="BP8" t="s">
        <v>973</v>
      </c>
      <c r="BQ8" t="s">
        <v>973</v>
      </c>
      <c r="BR8" t="s">
        <v>973</v>
      </c>
    </row>
    <row r="9" spans="1:70" x14ac:dyDescent="0.25">
      <c r="A9" t="s">
        <v>463</v>
      </c>
      <c r="B9" t="s">
        <v>464</v>
      </c>
      <c r="C9" t="s">
        <v>465</v>
      </c>
      <c r="D9" s="6"/>
      <c r="E9" s="9" t="str">
        <f>HYPERLINK("http://plants.ensembl.org/Triticum_aestivum/Gene/Summary?g=TRIAE_CS42_4AS_TGACv1_307123_AA1017260","TRIAE_CS42_4AS_TGACv1_307123_AA1017260")</f>
        <v>TRIAE_CS42_4AS_TGACv1_307123_AA1017260</v>
      </c>
      <c r="F9" s="9" t="str">
        <f>HYPERLINK("http://mar2016-plants.ensembl.org/Triticum_aestivum/Gene/Summary?db=core;g=Traes_4AS_B95E89A28","Traes_4AS_B95E89A28")</f>
        <v>Traes_4AS_B95E89A28</v>
      </c>
      <c r="G9" t="s">
        <v>1003</v>
      </c>
      <c r="H9" s="8" t="str">
        <f>HYPERLINK("http://plants.ensembl.org/Brachypodium_distachyon/Gene/Summary?g=Bradi1g74870","Bradi1g74870")</f>
        <v>Bradi1g74870</v>
      </c>
      <c r="I9" s="8" t="str">
        <f>HYPERLINK("http://plants.ensembl.org/Arabidopsis_thaliana/Gene/Summary?g=AT4G05160","AT4G05160")</f>
        <v>AT4G05160</v>
      </c>
      <c r="J9" s="9" t="str">
        <f>HYPERLINK("http://plants.ensembl.org/Oryza_sativa/Gene/Summary?db=otherfeatures;g=LOC_Os03g05780","LOC_Os03g05780")</f>
        <v>LOC_Os03g05780</v>
      </c>
      <c r="K9" s="9" t="str">
        <f>HYPERLINK("http://plants.ensembl.org/Zea_mays/Gene/Summary?db=otherfeatures;g=GRMZM2G174574","GRMZM2G174574")</f>
        <v>GRMZM2G174574</v>
      </c>
      <c r="L9" s="6"/>
      <c r="M9" t="s">
        <v>973</v>
      </c>
      <c r="N9">
        <v>1</v>
      </c>
      <c r="O9" t="s">
        <v>973</v>
      </c>
      <c r="P9" t="s">
        <v>973</v>
      </c>
      <c r="S9" t="s">
        <v>973</v>
      </c>
      <c r="T9" s="6"/>
      <c r="U9" s="11">
        <v>5.9988844858026669</v>
      </c>
      <c r="V9" s="11">
        <v>8.1650144964418647</v>
      </c>
      <c r="W9" s="11">
        <v>5.5662895195673192</v>
      </c>
      <c r="X9" s="11">
        <v>5.6722357989958718</v>
      </c>
      <c r="Y9" s="11">
        <v>5.6279569643395684</v>
      </c>
      <c r="Z9" s="11">
        <v>6.0505786043056622</v>
      </c>
      <c r="AA9" s="11">
        <v>5.8126488190910823</v>
      </c>
      <c r="AB9" s="11">
        <v>6.0762084687398987</v>
      </c>
      <c r="AC9" s="11">
        <v>6.2404288243967354</v>
      </c>
      <c r="AD9" s="11">
        <v>6.5147272023587357</v>
      </c>
      <c r="AE9" s="11">
        <v>6.3920225561609829</v>
      </c>
      <c r="AF9" s="11">
        <v>6.8460862416903421</v>
      </c>
      <c r="AG9" s="11">
        <v>6.2973577400787244</v>
      </c>
      <c r="AH9" s="11">
        <v>7.1064589492449892</v>
      </c>
      <c r="AI9" s="11">
        <v>6.1469653888440625</v>
      </c>
      <c r="AJ9" s="11">
        <v>6.494275857214757</v>
      </c>
      <c r="AK9" s="6"/>
      <c r="AL9" t="s">
        <v>1078</v>
      </c>
      <c r="AM9">
        <v>0</v>
      </c>
      <c r="AN9" s="6"/>
      <c r="AO9" s="20">
        <v>-0.247</v>
      </c>
      <c r="AP9" s="20">
        <v>1.7119</v>
      </c>
      <c r="AQ9" s="20">
        <v>-0.83069999999999999</v>
      </c>
      <c r="AR9" s="20">
        <v>-1.1869000000000001</v>
      </c>
      <c r="AS9" s="20">
        <v>-0.68569999999999998</v>
      </c>
      <c r="AT9" s="20">
        <v>-1.052</v>
      </c>
      <c r="AU9" s="20">
        <v>-0.32619999999999999</v>
      </c>
      <c r="AV9" s="20">
        <v>-0.41830000000000001</v>
      </c>
      <c r="AW9" s="6"/>
      <c r="AX9" s="18">
        <v>0.37219999999999998</v>
      </c>
      <c r="AY9" s="18">
        <v>1.8550000000000001E-10</v>
      </c>
      <c r="AZ9" s="18">
        <v>1.0529999999999999E-3</v>
      </c>
      <c r="BA9" s="18">
        <v>2.6699999999999998E-6</v>
      </c>
      <c r="BB9" s="18">
        <v>6.8300000000000001E-3</v>
      </c>
      <c r="BC9" s="18">
        <v>1.5500000000000001E-5</v>
      </c>
      <c r="BD9" s="18">
        <v>0.1908</v>
      </c>
      <c r="BE9" s="18">
        <v>9.4030000000000002E-2</v>
      </c>
      <c r="BF9" s="13"/>
      <c r="BG9" t="s">
        <v>1401</v>
      </c>
      <c r="BH9" t="s">
        <v>1126</v>
      </c>
      <c r="BI9" t="s">
        <v>1113</v>
      </c>
      <c r="BJ9" t="s">
        <v>1127</v>
      </c>
      <c r="BK9" t="s">
        <v>1115</v>
      </c>
      <c r="BL9" t="s">
        <v>1116</v>
      </c>
      <c r="BM9" t="s">
        <v>1117</v>
      </c>
      <c r="BN9" s="13"/>
      <c r="BO9" t="s">
        <v>973</v>
      </c>
      <c r="BP9" t="s">
        <v>973</v>
      </c>
      <c r="BQ9" t="s">
        <v>973</v>
      </c>
      <c r="BR9" t="s">
        <v>973</v>
      </c>
    </row>
    <row r="10" spans="1:70" x14ac:dyDescent="0.25">
      <c r="A10" t="s">
        <v>545</v>
      </c>
      <c r="B10" t="s">
        <v>464</v>
      </c>
      <c r="C10" t="s">
        <v>465</v>
      </c>
      <c r="D10" s="6"/>
      <c r="E10" s="9" t="str">
        <f>HYPERLINK("http://plants.ensembl.org/Triticum_aestivum/Gene/Summary?g=TRIAE_CS42_4BL_TGACv1_321109_AA1055570","TRIAE_CS42_4BL_TGACv1_321109_AA1055570")</f>
        <v>TRIAE_CS42_4BL_TGACv1_321109_AA1055570</v>
      </c>
      <c r="F10" s="9" t="str">
        <f>HYPERLINK("http://mar2016-plants.ensembl.org/Triticum_aestivum/Gene/Summary?db=core;g=Traes_4BL_E01EDE97C","Traes_4BL_E01EDE97C")</f>
        <v>Traes_4BL_E01EDE97C</v>
      </c>
      <c r="G10" t="s">
        <v>1003</v>
      </c>
      <c r="H10" s="8" t="str">
        <f>HYPERLINK("http://plants.ensembl.org/Brachypodium_distachyon/Gene/Summary?g=Bradi1g74870","Bradi1g74870")</f>
        <v>Bradi1g74870</v>
      </c>
      <c r="I10" s="8" t="str">
        <f>HYPERLINK("http://plants.ensembl.org/Arabidopsis_thaliana/Gene/Summary?g=AT4G05160","AT4G05160")</f>
        <v>AT4G05160</v>
      </c>
      <c r="J10" s="9" t="str">
        <f>HYPERLINK("http://plants.ensembl.org/Oryza_sativa/Gene/Summary?db=otherfeatures;g=LOC_Os03g05780","LOC_Os03g05780")</f>
        <v>LOC_Os03g05780</v>
      </c>
      <c r="K10" s="9" t="str">
        <f>HYPERLINK("http://plants.ensembl.org/Zea_mays/Gene/Summary?db=otherfeatures;g=GRMZM2G174574","GRMZM2G174574")</f>
        <v>GRMZM2G174574</v>
      </c>
      <c r="L10" s="6"/>
      <c r="M10" t="s">
        <v>973</v>
      </c>
      <c r="N10">
        <v>1</v>
      </c>
      <c r="O10" t="s">
        <v>973</v>
      </c>
      <c r="P10" t="s">
        <v>973</v>
      </c>
      <c r="S10" t="s">
        <v>973</v>
      </c>
      <c r="T10" s="6"/>
      <c r="U10" s="11">
        <v>6.2467089340569704</v>
      </c>
      <c r="V10" s="11">
        <v>8.4036051753302647</v>
      </c>
      <c r="W10" s="11">
        <v>6.6347466869949896</v>
      </c>
      <c r="X10" s="11">
        <v>7.1750052198963283</v>
      </c>
      <c r="Y10" s="11">
        <v>6.4802376511212199</v>
      </c>
      <c r="Z10" s="11">
        <v>7.1592584816000464</v>
      </c>
      <c r="AA10" s="11">
        <v>6.9991495361270966</v>
      </c>
      <c r="AB10" s="11">
        <v>7.3435280418754756</v>
      </c>
      <c r="AC10" s="11">
        <v>7.3807926412067619</v>
      </c>
      <c r="AD10" s="11">
        <v>7.530933245627712</v>
      </c>
      <c r="AE10" s="11">
        <v>7.3290159284650391</v>
      </c>
      <c r="AF10" s="11">
        <v>7.5837617590523969</v>
      </c>
      <c r="AG10" s="11">
        <v>7.2011764125083673</v>
      </c>
      <c r="AH10" s="11">
        <v>7.9262240312192951</v>
      </c>
      <c r="AI10" s="11">
        <v>7.5098024462761419</v>
      </c>
      <c r="AJ10" s="11">
        <v>7.7808207881394047</v>
      </c>
      <c r="AK10" s="6"/>
      <c r="AL10" t="s">
        <v>1080</v>
      </c>
      <c r="AM10">
        <v>0</v>
      </c>
      <c r="AN10" s="6"/>
      <c r="AO10" s="20">
        <v>-1.0658000000000001</v>
      </c>
      <c r="AP10" s="20">
        <v>0.94510000000000005</v>
      </c>
      <c r="AQ10" s="20">
        <v>-0.70130000000000003</v>
      </c>
      <c r="AR10" s="20">
        <v>-0.40500000000000003</v>
      </c>
      <c r="AS10" s="20">
        <v>-0.72770000000000001</v>
      </c>
      <c r="AT10" s="20">
        <v>-0.76339999999999997</v>
      </c>
      <c r="AU10" s="20">
        <v>-0.50970000000000004</v>
      </c>
      <c r="AV10" s="20">
        <v>-0.43730000000000002</v>
      </c>
      <c r="AW10" s="6"/>
      <c r="AX10" s="18">
        <v>5.7270000000000003E-8</v>
      </c>
      <c r="AY10" s="18">
        <v>2.6059999999999999E-7</v>
      </c>
      <c r="AZ10" s="18">
        <v>2.071E-5</v>
      </c>
      <c r="BA10" s="18">
        <v>1.1690000000000001E-2</v>
      </c>
      <c r="BB10" s="18">
        <v>1.396E-5</v>
      </c>
      <c r="BC10" s="18">
        <v>1.221E-6</v>
      </c>
      <c r="BD10" s="18">
        <v>1.2290000000000001E-3</v>
      </c>
      <c r="BE10" s="18">
        <v>5.6290000000000003E-3</v>
      </c>
      <c r="BF10" s="13"/>
      <c r="BG10" t="s">
        <v>1134</v>
      </c>
      <c r="BH10" t="s">
        <v>1126</v>
      </c>
      <c r="BI10" t="s">
        <v>1113</v>
      </c>
      <c r="BJ10" t="s">
        <v>1127</v>
      </c>
      <c r="BK10" t="s">
        <v>1115</v>
      </c>
      <c r="BL10" t="s">
        <v>1116</v>
      </c>
      <c r="BM10" t="s">
        <v>1117</v>
      </c>
      <c r="BN10" s="13"/>
      <c r="BO10" t="s">
        <v>973</v>
      </c>
      <c r="BP10" t="s">
        <v>973</v>
      </c>
      <c r="BQ10" t="s">
        <v>973</v>
      </c>
      <c r="BR10" t="s">
        <v>973</v>
      </c>
    </row>
    <row r="11" spans="1:70" x14ac:dyDescent="0.25">
      <c r="A11" t="s">
        <v>588</v>
      </c>
      <c r="B11" t="s">
        <v>464</v>
      </c>
      <c r="C11" t="s">
        <v>465</v>
      </c>
      <c r="D11" s="6"/>
      <c r="E11" s="9" t="str">
        <f>HYPERLINK("http://plants.ensembl.org/Triticum_aestivum/Gene/Summary?g=TRIAE_CS42_4DL_TGACv1_345039_AA1151210","TRIAE_CS42_4DL_TGACv1_345039_AA1151210")</f>
        <v>TRIAE_CS42_4DL_TGACv1_345039_AA1151210</v>
      </c>
      <c r="F11" s="9" t="str">
        <f>HYPERLINK("http://mar2016-plants.ensembl.org/Triticum_aestivum/Gene/Summary?db=core;g=Traes_4DL_CE24009DC","Traes_4DL_CE24009DC")</f>
        <v>Traes_4DL_CE24009DC</v>
      </c>
      <c r="G11" t="s">
        <v>1003</v>
      </c>
      <c r="H11" s="8" t="str">
        <f>HYPERLINK("http://plants.ensembl.org/Brachypodium_distachyon/Gene/Summary?g=Bradi1g74870","Bradi1g74870")</f>
        <v>Bradi1g74870</v>
      </c>
      <c r="I11" s="8" t="str">
        <f>HYPERLINK("http://plants.ensembl.org/Arabidopsis_thaliana/Gene/Summary?g=AT4G05160","AT4G05160")</f>
        <v>AT4G05160</v>
      </c>
      <c r="J11" s="9" t="str">
        <f>HYPERLINK("http://plants.ensembl.org/Oryza_sativa/Gene/Summary?db=otherfeatures;g=LOC_Os03g05780","LOC_Os03g05780")</f>
        <v>LOC_Os03g05780</v>
      </c>
      <c r="K11" s="9" t="str">
        <f>HYPERLINK("http://plants.ensembl.org/Zea_mays/Gene/Summary?db=otherfeatures;g=GRMZM2G174574","GRMZM2G174574")</f>
        <v>GRMZM2G174574</v>
      </c>
      <c r="L11" s="6"/>
      <c r="M11" t="s">
        <v>973</v>
      </c>
      <c r="N11">
        <v>1</v>
      </c>
      <c r="O11" t="s">
        <v>973</v>
      </c>
      <c r="P11" t="s">
        <v>973</v>
      </c>
      <c r="S11" t="s">
        <v>973</v>
      </c>
      <c r="T11" s="6"/>
      <c r="U11" s="11">
        <v>5.9362044765240913</v>
      </c>
      <c r="V11" s="11">
        <v>8.9497704995033782</v>
      </c>
      <c r="W11" s="11">
        <v>6.5695974187480841</v>
      </c>
      <c r="X11" s="11">
        <v>7.0935700352208153</v>
      </c>
      <c r="Y11" s="11">
        <v>6.2658056743392585</v>
      </c>
      <c r="Z11" s="11">
        <v>7.1661473455908791</v>
      </c>
      <c r="AA11" s="11">
        <v>6.6928414335825508</v>
      </c>
      <c r="AB11" s="11">
        <v>6.9449934969765481</v>
      </c>
      <c r="AC11" s="11">
        <v>7.2925305438473034</v>
      </c>
      <c r="AD11" s="11">
        <v>8.0781894214422429</v>
      </c>
      <c r="AE11" s="11">
        <v>7.5648557358002773</v>
      </c>
      <c r="AF11" s="11">
        <v>7.9438242608782081</v>
      </c>
      <c r="AG11" s="11">
        <v>7.1399868236831407</v>
      </c>
      <c r="AH11" s="11">
        <v>8.1849044278759511</v>
      </c>
      <c r="AI11" s="11">
        <v>7.1341956074783814</v>
      </c>
      <c r="AJ11" s="11">
        <v>7.9505788361293943</v>
      </c>
      <c r="AK11" s="6"/>
      <c r="AL11" t="s">
        <v>1080</v>
      </c>
      <c r="AM11">
        <v>0</v>
      </c>
      <c r="AN11" s="6"/>
      <c r="AO11" s="20">
        <v>-1.2618</v>
      </c>
      <c r="AP11" s="20">
        <v>0.89090000000000003</v>
      </c>
      <c r="AQ11" s="20">
        <v>-1.0001</v>
      </c>
      <c r="AR11" s="20">
        <v>-0.85980000000000001</v>
      </c>
      <c r="AS11" s="20">
        <v>-0.87209999999999999</v>
      </c>
      <c r="AT11" s="20">
        <v>-1.0109999999999999</v>
      </c>
      <c r="AU11" s="20">
        <v>-0.44190000000000002</v>
      </c>
      <c r="AV11" s="20">
        <v>-1.0083</v>
      </c>
      <c r="AW11" s="6"/>
      <c r="AX11" s="18">
        <v>1.842E-9</v>
      </c>
      <c r="AY11" s="18">
        <v>5.1679999999999997E-7</v>
      </c>
      <c r="AZ11" s="18">
        <v>3.3229999999999998E-9</v>
      </c>
      <c r="BA11" s="18">
        <v>1.747E-7</v>
      </c>
      <c r="BB11" s="18">
        <v>7.3330000000000003E-7</v>
      </c>
      <c r="BC11" s="18">
        <v>3.723E-10</v>
      </c>
      <c r="BD11" s="18">
        <v>8.6660000000000001E-3</v>
      </c>
      <c r="BE11" s="18">
        <v>1.3709999999999999E-9</v>
      </c>
      <c r="BF11" s="13"/>
      <c r="BG11" t="s">
        <v>1406</v>
      </c>
      <c r="BH11" t="s">
        <v>1126</v>
      </c>
      <c r="BI11" t="s">
        <v>1113</v>
      </c>
      <c r="BJ11" t="s">
        <v>1127</v>
      </c>
      <c r="BK11" t="s">
        <v>1248</v>
      </c>
      <c r="BL11" t="s">
        <v>1116</v>
      </c>
      <c r="BM11" t="s">
        <v>1117</v>
      </c>
      <c r="BN11" s="13"/>
      <c r="BO11" t="s">
        <v>973</v>
      </c>
      <c r="BP11" t="s">
        <v>973</v>
      </c>
      <c r="BQ11" t="s">
        <v>973</v>
      </c>
      <c r="BR11" t="s">
        <v>973</v>
      </c>
    </row>
    <row r="12" spans="1:70" x14ac:dyDescent="0.25">
      <c r="A12" t="s">
        <v>778</v>
      </c>
      <c r="B12" t="s">
        <v>779</v>
      </c>
      <c r="C12" t="s">
        <v>780</v>
      </c>
      <c r="D12" s="6"/>
      <c r="E12" s="9" t="str">
        <f>HYPERLINK("http://plants.ensembl.org/Triticum_aestivum/Gene/Summary?g=TRIAE_CS42_6AL_TGACv1_472020_AA1516890","TRIAE_CS42_6AL_TGACv1_472020_AA1516890")</f>
        <v>TRIAE_CS42_6AL_TGACv1_472020_AA1516890</v>
      </c>
      <c r="F12" s="9" t="str">
        <f>HYPERLINK("http://mar2016-plants.ensembl.org/Triticum_aestivum/Gene/Summary?db=core;g=Traes_6AL_1DAFF2711","Traes_6AL_1DAFF2711")</f>
        <v>Traes_6AL_1DAFF2711</v>
      </c>
      <c r="G12" t="s">
        <v>1028</v>
      </c>
      <c r="H12" s="8" t="str">
        <f>HYPERLINK("http://plants.ensembl.org/Brachypodium_distachyon/Gene/Summary?g=Bradi3g48080","Bradi3g48080")</f>
        <v>Bradi3g48080</v>
      </c>
      <c r="I12" s="8" t="str">
        <f>HYPERLINK("http://plants.ensembl.org/Arabidopsis_thaliana/Gene/Summary?g=AT5G60600","AT5G60600")</f>
        <v>AT5G60600</v>
      </c>
      <c r="J12" s="9" t="str">
        <f>HYPERLINK("http://plants.ensembl.org/Oryza_sativa/Gene/Summary?db=otherfeatures;g=LOC_Os02g39160","LOC_Os02g39160")</f>
        <v>LOC_Os02g39160</v>
      </c>
      <c r="K12" s="9" t="str">
        <f>HYPERLINK("http://plants.ensembl.org/Zea_mays/Gene/Summary?db=otherfeatures;g=GRMZM2G137409","GRMZM2G137409")</f>
        <v>GRMZM2G137409</v>
      </c>
      <c r="L12" s="6"/>
      <c r="M12">
        <v>1</v>
      </c>
      <c r="N12">
        <v>1</v>
      </c>
      <c r="O12" t="s">
        <v>973</v>
      </c>
      <c r="P12" t="s">
        <v>973</v>
      </c>
      <c r="S12" t="s">
        <v>973</v>
      </c>
      <c r="T12" s="6"/>
      <c r="U12" s="11">
        <v>10.902815619460096</v>
      </c>
      <c r="V12" s="11">
        <v>10.75358924406471</v>
      </c>
      <c r="W12" s="11">
        <v>10.669631867075164</v>
      </c>
      <c r="X12" s="11">
        <v>10.085319130106507</v>
      </c>
      <c r="Y12" s="11">
        <v>9.8074478784307981</v>
      </c>
      <c r="Z12" s="11">
        <v>9.7242502444477701</v>
      </c>
      <c r="AA12" s="11">
        <v>9.5702329376325679</v>
      </c>
      <c r="AB12" s="11">
        <v>10.33715557078601</v>
      </c>
      <c r="AC12" s="11">
        <v>10.454832776195234</v>
      </c>
      <c r="AD12" s="11">
        <v>9.9671196501586881</v>
      </c>
      <c r="AE12" s="11">
        <v>9.559307678876829</v>
      </c>
      <c r="AF12" s="11">
        <v>9.6412326091409106</v>
      </c>
      <c r="AG12" s="11">
        <v>9.8023853911157648</v>
      </c>
      <c r="AH12" s="11">
        <v>9.6868291814314009</v>
      </c>
      <c r="AI12" s="11">
        <v>10.1036233052914</v>
      </c>
      <c r="AJ12" s="11">
        <v>10.334710609287846</v>
      </c>
      <c r="AK12" s="6"/>
      <c r="AL12" t="s">
        <v>1090</v>
      </c>
      <c r="AM12">
        <v>0</v>
      </c>
      <c r="AN12" s="6"/>
      <c r="AO12" s="20">
        <v>0.44729999999999998</v>
      </c>
      <c r="AP12" s="20">
        <v>0.80449999999999999</v>
      </c>
      <c r="AQ12" s="20">
        <v>1.1079000000000001</v>
      </c>
      <c r="AR12" s="20">
        <v>0.4451</v>
      </c>
      <c r="AS12" s="20">
        <v>4.5999999999999999E-3</v>
      </c>
      <c r="AT12" s="20">
        <v>3.5999999999999997E-2</v>
      </c>
      <c r="AU12" s="20">
        <v>-0.53210000000000002</v>
      </c>
      <c r="AV12" s="20">
        <v>2.3999999999999998E-3</v>
      </c>
      <c r="AW12" s="6"/>
      <c r="AX12" s="18">
        <v>4.8410000000000002E-2</v>
      </c>
      <c r="AY12" s="18">
        <v>5.4750000000000003E-4</v>
      </c>
      <c r="AZ12" s="18">
        <v>9.4760000000000004E-7</v>
      </c>
      <c r="BA12" s="18">
        <v>4.9509999999999998E-2</v>
      </c>
      <c r="BB12" s="18">
        <v>0.9839</v>
      </c>
      <c r="BC12" s="18">
        <v>0.87390000000000001</v>
      </c>
      <c r="BD12" s="18">
        <v>1.8579999999999999E-2</v>
      </c>
      <c r="BE12" s="18">
        <v>0.99150000000000005</v>
      </c>
      <c r="BF12" s="13"/>
      <c r="BG12" t="s">
        <v>1367</v>
      </c>
      <c r="BH12" t="s">
        <v>1306</v>
      </c>
      <c r="BI12" t="s">
        <v>1113</v>
      </c>
      <c r="BJ12" t="s">
        <v>1114</v>
      </c>
      <c r="BK12" t="s">
        <v>1115</v>
      </c>
      <c r="BL12" t="s">
        <v>1202</v>
      </c>
      <c r="BM12" t="s">
        <v>1117</v>
      </c>
      <c r="BN12" s="13"/>
      <c r="BO12" t="s">
        <v>973</v>
      </c>
      <c r="BP12" t="s">
        <v>973</v>
      </c>
      <c r="BQ12" t="s">
        <v>973</v>
      </c>
      <c r="BR12" t="s">
        <v>973</v>
      </c>
    </row>
    <row r="13" spans="1:70" x14ac:dyDescent="0.25">
      <c r="A13" t="s">
        <v>33</v>
      </c>
      <c r="B13" t="s">
        <v>34</v>
      </c>
      <c r="C13" t="s">
        <v>35</v>
      </c>
      <c r="D13" s="6"/>
      <c r="E13" s="9" t="str">
        <f>HYPERLINK("http://plants.ensembl.org/Triticum_aestivum/Gene/Summary?g=TRIAE_CS42_1AL_TGACv1_000153_AA0004910","TRIAE_CS42_1AL_TGACv1_000153_AA0004910")</f>
        <v>TRIAE_CS42_1AL_TGACv1_000153_AA0004910</v>
      </c>
      <c r="F13" s="9" t="str">
        <f>HYPERLINK("http://mar2016-plants.ensembl.org/Triticum_aestivum/Gene/Summary?db=core;g=Traes_1AL_AB3B8B93E","Traes_1AL_AB3B8B93E")</f>
        <v>Traes_1AL_AB3B8B93E</v>
      </c>
      <c r="H13" s="8" t="str">
        <f>HYPERLINK("http://plants.ensembl.org/Brachypodium_distachyon/Gene/Summary?g=Bradi2g27680","Bradi2g27680")</f>
        <v>Bradi2g27680</v>
      </c>
      <c r="I13" s="1" t="s">
        <v>1051</v>
      </c>
      <c r="J13" s="9" t="str">
        <f>HYPERLINK("http://plants.ensembl.org/Oryza_sativa/Gene/Summary?db=otherfeatures;g=LOC_Os05g30500","LOC_Os05g30500")</f>
        <v>LOC_Os05g30500</v>
      </c>
      <c r="L13" s="6"/>
      <c r="M13">
        <v>1</v>
      </c>
      <c r="T13" s="6"/>
      <c r="U13" s="11">
        <v>7.3072348170208716</v>
      </c>
      <c r="V13" s="11">
        <v>9.0134540711117808</v>
      </c>
      <c r="W13" s="11">
        <v>5.0570357446921292</v>
      </c>
      <c r="X13" s="11">
        <v>5.1347014842068024</v>
      </c>
      <c r="Y13" s="11">
        <v>5.6715443690143506</v>
      </c>
      <c r="Z13" s="11">
        <v>4.7188967717578469</v>
      </c>
      <c r="AA13" s="11">
        <v>4.6124763552342003</v>
      </c>
      <c r="AB13" s="11">
        <v>5.0938333879879609</v>
      </c>
      <c r="AC13" s="11">
        <v>1.7649122730571281</v>
      </c>
      <c r="AD13" s="11">
        <v>0.99605123444680965</v>
      </c>
      <c r="AE13" s="11">
        <v>1.8043564986263825</v>
      </c>
      <c r="AF13" s="11">
        <v>0.8978857823473092</v>
      </c>
      <c r="AG13" s="11">
        <v>0.72392255669060745</v>
      </c>
      <c r="AH13" s="11">
        <v>0.59772979679503402</v>
      </c>
      <c r="AI13" s="11">
        <v>1.689642086039286</v>
      </c>
      <c r="AJ13" s="11">
        <v>0.58576377541039526</v>
      </c>
      <c r="AK13" s="6"/>
      <c r="AL13" t="s">
        <v>1077</v>
      </c>
      <c r="AM13" s="12">
        <v>5876</v>
      </c>
      <c r="AN13" s="6"/>
      <c r="AO13" s="20">
        <v>6.0731999999999999</v>
      </c>
      <c r="AP13" s="20">
        <v>8.1113</v>
      </c>
      <c r="AQ13" s="20">
        <v>3.597</v>
      </c>
      <c r="AR13" s="20">
        <v>4.7967000000000004</v>
      </c>
      <c r="AS13" s="20">
        <v>5.8959000000000001</v>
      </c>
      <c r="AT13" s="20">
        <v>5.0122</v>
      </c>
      <c r="AU13" s="20">
        <v>3.2480000000000002</v>
      </c>
      <c r="AV13" s="20">
        <v>5.5492999999999997</v>
      </c>
      <c r="AW13" s="6"/>
      <c r="AX13" s="18">
        <v>6.4290000000000002E-13</v>
      </c>
      <c r="AY13" s="18">
        <v>2.858E-17</v>
      </c>
      <c r="AZ13" s="18">
        <v>9.1069999999999994E-6</v>
      </c>
      <c r="BA13" s="18">
        <v>3.2430000000000001E-7</v>
      </c>
      <c r="BB13" s="18">
        <v>1.5070000000000001E-10</v>
      </c>
      <c r="BC13" s="18">
        <v>2.052E-6</v>
      </c>
      <c r="BD13" s="18">
        <v>6.8869999999999996E-5</v>
      </c>
      <c r="BE13" s="18">
        <v>1.106E-7</v>
      </c>
      <c r="BF13" s="13"/>
      <c r="BG13" t="s">
        <v>1191</v>
      </c>
      <c r="BH13" t="s">
        <v>1144</v>
      </c>
      <c r="BI13" t="s">
        <v>1113</v>
      </c>
      <c r="BJ13" t="s">
        <v>1114</v>
      </c>
      <c r="BK13" t="s">
        <v>1115</v>
      </c>
      <c r="BL13" t="s">
        <v>1116</v>
      </c>
      <c r="BM13" t="s">
        <v>1117</v>
      </c>
      <c r="BN13" s="13"/>
      <c r="BO13" t="s">
        <v>973</v>
      </c>
      <c r="BP13" t="s">
        <v>973</v>
      </c>
      <c r="BQ13" t="s">
        <v>973</v>
      </c>
      <c r="BR13" t="s">
        <v>973</v>
      </c>
    </row>
    <row r="14" spans="1:70" x14ac:dyDescent="0.25">
      <c r="A14" t="s">
        <v>521</v>
      </c>
      <c r="B14" t="s">
        <v>522</v>
      </c>
      <c r="C14" t="s">
        <v>523</v>
      </c>
      <c r="D14" s="6"/>
      <c r="E14" s="9" t="str">
        <f>HYPERLINK("http://plants.ensembl.org/Triticum_aestivum/Gene/Summary?g=TRIAE_CS42_4AL_TGACv1_289342_AA0969430","TRIAE_CS42_4AL_TGACv1_289342_AA0969430")</f>
        <v>TRIAE_CS42_4AL_TGACv1_289342_AA0969430</v>
      </c>
      <c r="H14" s="1" t="s">
        <v>1051</v>
      </c>
      <c r="I14" s="1" t="s">
        <v>1051</v>
      </c>
      <c r="J14" s="1" t="s">
        <v>1051</v>
      </c>
      <c r="L14" s="6"/>
      <c r="M14" s="1" t="s">
        <v>973</v>
      </c>
      <c r="N14" s="1" t="s">
        <v>973</v>
      </c>
      <c r="O14" s="1" t="s">
        <v>973</v>
      </c>
      <c r="P14" s="1" t="s">
        <v>973</v>
      </c>
      <c r="Q14" s="1" t="s">
        <v>973</v>
      </c>
      <c r="R14" s="1" t="s">
        <v>973</v>
      </c>
      <c r="S14" s="1">
        <v>1</v>
      </c>
      <c r="T14" s="6"/>
      <c r="U14" s="11">
        <v>2.6676348159945809</v>
      </c>
      <c r="V14" s="11">
        <v>7.5823066007416724</v>
      </c>
      <c r="W14" s="11">
        <v>1.6894929980099609</v>
      </c>
      <c r="X14" s="11">
        <v>4.4569134495161133</v>
      </c>
      <c r="Y14" s="11">
        <v>3.0022524517313784</v>
      </c>
      <c r="Z14" s="11">
        <v>5.3592458832735641</v>
      </c>
      <c r="AA14" s="11">
        <v>4.6981388202898744</v>
      </c>
      <c r="AB14" s="11">
        <v>4.1946728178608712</v>
      </c>
      <c r="AC14" s="11">
        <v>1.6170633438881805</v>
      </c>
      <c r="AD14" s="11">
        <v>0.41305242854852736</v>
      </c>
      <c r="AE14" s="11">
        <v>1.8163812549776774</v>
      </c>
      <c r="AF14" s="11">
        <v>3.1137893870635205</v>
      </c>
      <c r="AG14" s="11">
        <v>1.4164434416581233</v>
      </c>
      <c r="AH14" s="11">
        <v>1.5294545012534486</v>
      </c>
      <c r="AI14" s="11">
        <v>4.2252415051960721</v>
      </c>
      <c r="AJ14" s="11">
        <v>5.4043740914610163</v>
      </c>
      <c r="AK14" s="6"/>
      <c r="AL14" t="s">
        <v>1073</v>
      </c>
      <c r="AM14">
        <v>0</v>
      </c>
      <c r="AN14" s="6"/>
      <c r="AO14" s="20">
        <v>0.99880000000000002</v>
      </c>
      <c r="AP14" s="20">
        <v>7.4496000000000002</v>
      </c>
      <c r="AQ14" s="20">
        <v>-0.14680000000000001</v>
      </c>
      <c r="AR14" s="20">
        <v>1.3267</v>
      </c>
      <c r="AS14" s="20">
        <v>1.9101999999999999</v>
      </c>
      <c r="AT14" s="20">
        <v>4.2138</v>
      </c>
      <c r="AU14" s="20">
        <v>0.4677</v>
      </c>
      <c r="AV14" s="20">
        <v>-1.2144999999999999</v>
      </c>
      <c r="AW14" s="6"/>
      <c r="AX14" s="18">
        <v>0.35570000000000002</v>
      </c>
      <c r="AY14" s="18">
        <v>1.8340000000000001E-10</v>
      </c>
      <c r="AZ14" s="18">
        <v>0.88670000000000004</v>
      </c>
      <c r="BA14" s="18">
        <v>0.13780000000000001</v>
      </c>
      <c r="BB14" s="18">
        <v>4.9610000000000001E-2</v>
      </c>
      <c r="BC14" s="18">
        <v>1.908E-5</v>
      </c>
      <c r="BD14" s="18">
        <v>0.58950000000000002</v>
      </c>
      <c r="BE14" s="18">
        <v>0.1618</v>
      </c>
      <c r="BF14" s="13"/>
      <c r="BG14" t="s">
        <v>1125</v>
      </c>
      <c r="BH14" t="s">
        <v>1175</v>
      </c>
      <c r="BI14" t="s">
        <v>1113</v>
      </c>
      <c r="BJ14" t="s">
        <v>1127</v>
      </c>
      <c r="BK14" t="s">
        <v>1115</v>
      </c>
      <c r="BL14" t="s">
        <v>1116</v>
      </c>
      <c r="BM14" t="s">
        <v>1117</v>
      </c>
      <c r="BN14" s="13"/>
      <c r="BO14" t="s">
        <v>973</v>
      </c>
      <c r="BP14" t="s">
        <v>973</v>
      </c>
      <c r="BQ14" t="s">
        <v>973</v>
      </c>
      <c r="BR14" t="s">
        <v>973</v>
      </c>
    </row>
    <row r="15" spans="1:70" x14ac:dyDescent="0.25">
      <c r="A15" t="s">
        <v>842</v>
      </c>
      <c r="B15" t="s">
        <v>522</v>
      </c>
      <c r="C15" t="s">
        <v>523</v>
      </c>
      <c r="D15" s="6"/>
      <c r="E15" s="9" t="str">
        <f>HYPERLINK("http://plants.ensembl.org/Triticum_aestivum/Gene/Summary?g=TRIAE_CS42_7AS_TGACv1_570690_AA1839360","TRIAE_CS42_7AS_TGACv1_570690_AA1839360")</f>
        <v>TRIAE_CS42_7AS_TGACv1_570690_AA1839360</v>
      </c>
      <c r="H15" s="1" t="s">
        <v>1051</v>
      </c>
      <c r="I15" s="1" t="s">
        <v>1051</v>
      </c>
      <c r="J15" s="1" t="s">
        <v>1051</v>
      </c>
      <c r="L15" s="6"/>
      <c r="M15" s="1" t="s">
        <v>973</v>
      </c>
      <c r="N15" s="1" t="s">
        <v>973</v>
      </c>
      <c r="O15" s="1" t="s">
        <v>973</v>
      </c>
      <c r="P15" s="1" t="s">
        <v>973</v>
      </c>
      <c r="Q15" s="1" t="s">
        <v>973</v>
      </c>
      <c r="R15" s="1" t="s">
        <v>973</v>
      </c>
      <c r="S15" s="1">
        <v>1</v>
      </c>
      <c r="T15" s="6"/>
      <c r="U15" s="11">
        <v>4.8447438382974166</v>
      </c>
      <c r="V15" s="11">
        <v>10.000247425401916</v>
      </c>
      <c r="W15" s="11">
        <v>0</v>
      </c>
      <c r="X15" s="11">
        <v>4.8551060084882964</v>
      </c>
      <c r="Y15" s="11">
        <v>1.4624886396952339</v>
      </c>
      <c r="Z15" s="11">
        <v>4.3788976774808743</v>
      </c>
      <c r="AA15" s="11">
        <v>2.6196555914841273</v>
      </c>
      <c r="AB15" s="11">
        <v>4.3094624081006003</v>
      </c>
      <c r="AC15" s="11">
        <v>1.8193548162651614</v>
      </c>
      <c r="AD15" s="11">
        <v>0.41305242854852736</v>
      </c>
      <c r="AE15" s="11">
        <v>0.38508125054108833</v>
      </c>
      <c r="AF15" s="11">
        <v>0.71618612522411451</v>
      </c>
      <c r="AG15" s="11">
        <v>0.49337407040002274</v>
      </c>
      <c r="AH15" s="11">
        <v>0.71852602646226216</v>
      </c>
      <c r="AI15" s="11">
        <v>0.32799388035946819</v>
      </c>
      <c r="AJ15" s="11">
        <v>1.9086207917474012</v>
      </c>
      <c r="AK15" s="6"/>
      <c r="AL15" t="s">
        <v>1073</v>
      </c>
      <c r="AM15">
        <v>0</v>
      </c>
      <c r="AN15" s="6"/>
      <c r="AO15" s="20">
        <v>3.3755000000000002</v>
      </c>
      <c r="AP15" s="20">
        <v>9.8191000000000006</v>
      </c>
      <c r="AQ15" s="20">
        <v>-0.94140000000000001</v>
      </c>
      <c r="AR15" s="20">
        <v>5.1292999999999997</v>
      </c>
      <c r="AS15" s="20">
        <v>1.9152</v>
      </c>
      <c r="AT15" s="20">
        <v>4.5673000000000004</v>
      </c>
      <c r="AU15" s="20">
        <v>3.5706000000000002</v>
      </c>
      <c r="AV15" s="20">
        <v>2.6156000000000001</v>
      </c>
      <c r="AW15" s="6"/>
      <c r="AX15" s="18">
        <v>2.392E-3</v>
      </c>
      <c r="AY15" s="18">
        <v>1.2290000000000001E-14</v>
      </c>
      <c r="AZ15" s="18">
        <v>0.5645</v>
      </c>
      <c r="BA15" s="18">
        <v>4.426E-5</v>
      </c>
      <c r="BB15" s="18">
        <v>0.14929999999999999</v>
      </c>
      <c r="BC15" s="18">
        <v>2.7690000000000001E-4</v>
      </c>
      <c r="BD15" s="18">
        <v>9.2610000000000001E-3</v>
      </c>
      <c r="BE15" s="18">
        <v>1.507E-2</v>
      </c>
      <c r="BF15" s="13"/>
      <c r="BG15" t="s">
        <v>1125</v>
      </c>
      <c r="BH15" t="s">
        <v>1126</v>
      </c>
      <c r="BI15" t="s">
        <v>1113</v>
      </c>
      <c r="BJ15" t="s">
        <v>1127</v>
      </c>
      <c r="BK15" t="s">
        <v>1115</v>
      </c>
      <c r="BL15" t="s">
        <v>1116</v>
      </c>
      <c r="BM15" t="s">
        <v>1117</v>
      </c>
      <c r="BN15" s="13"/>
      <c r="BO15" t="s">
        <v>973</v>
      </c>
      <c r="BP15">
        <v>1</v>
      </c>
      <c r="BQ15" t="s">
        <v>973</v>
      </c>
      <c r="BR15" t="s">
        <v>973</v>
      </c>
    </row>
    <row r="16" spans="1:70" x14ac:dyDescent="0.25">
      <c r="A16" t="s">
        <v>932</v>
      </c>
      <c r="B16" t="s">
        <v>522</v>
      </c>
      <c r="C16" t="s">
        <v>523</v>
      </c>
      <c r="D16" s="6"/>
      <c r="E16" s="9" t="str">
        <f>HYPERLINK("http://plants.ensembl.org/Triticum_aestivum/Gene/Summary?g=TRIAE_CS42_7DS_TGACv1_621499_AA2017500","TRIAE_CS42_7DS_TGACv1_621499_AA2017500")</f>
        <v>TRIAE_CS42_7DS_TGACv1_621499_AA2017500</v>
      </c>
      <c r="H16" s="1" t="s">
        <v>1051</v>
      </c>
      <c r="I16" s="1" t="s">
        <v>1051</v>
      </c>
      <c r="J16" s="1" t="s">
        <v>1051</v>
      </c>
      <c r="L16" s="6"/>
      <c r="M16" s="1" t="s">
        <v>973</v>
      </c>
      <c r="N16" s="1" t="s">
        <v>973</v>
      </c>
      <c r="O16" s="1" t="s">
        <v>973</v>
      </c>
      <c r="P16" s="1" t="s">
        <v>973</v>
      </c>
      <c r="Q16" s="1" t="s">
        <v>973</v>
      </c>
      <c r="R16" s="1" t="s">
        <v>973</v>
      </c>
      <c r="S16" s="1">
        <v>1</v>
      </c>
      <c r="T16" s="6"/>
      <c r="U16" s="11">
        <v>3.8369542028528647</v>
      </c>
      <c r="V16" s="11">
        <v>8.2708207533790929</v>
      </c>
      <c r="W16" s="11">
        <v>2.1590263224696966</v>
      </c>
      <c r="X16" s="11">
        <v>5.2481514934440421</v>
      </c>
      <c r="Y16" s="11">
        <v>3.6079023460540962</v>
      </c>
      <c r="Z16" s="11">
        <v>6.0867618323466335</v>
      </c>
      <c r="AA16" s="11">
        <v>5.4311337331808209</v>
      </c>
      <c r="AB16" s="11">
        <v>5.0380483554885638</v>
      </c>
      <c r="AC16" s="11">
        <v>2.5250749467855513</v>
      </c>
      <c r="AD16" s="11">
        <v>0</v>
      </c>
      <c r="AE16" s="11">
        <v>2.3846024576507547</v>
      </c>
      <c r="AF16" s="11">
        <v>3.7109368097943349</v>
      </c>
      <c r="AG16" s="11">
        <v>1.6293799361746863</v>
      </c>
      <c r="AH16" s="11">
        <v>2.2748878115775826</v>
      </c>
      <c r="AI16" s="11">
        <v>3.8224208444756589</v>
      </c>
      <c r="AJ16" s="11">
        <v>5.2180642910409034</v>
      </c>
      <c r="AK16" s="6"/>
      <c r="AL16" t="s">
        <v>1077</v>
      </c>
      <c r="AM16">
        <v>0</v>
      </c>
      <c r="AN16" s="6"/>
      <c r="AO16" s="20">
        <v>1.1362000000000001</v>
      </c>
      <c r="AP16" s="20">
        <v>8.9015000000000004</v>
      </c>
      <c r="AQ16" s="20">
        <v>-0.2485</v>
      </c>
      <c r="AR16" s="20">
        <v>1.522</v>
      </c>
      <c r="AS16" s="20">
        <v>2.387</v>
      </c>
      <c r="AT16" s="20">
        <v>4.0407999999999999</v>
      </c>
      <c r="AU16" s="20">
        <v>1.6351</v>
      </c>
      <c r="AV16" s="20">
        <v>-0.18190000000000001</v>
      </c>
      <c r="AW16" s="6"/>
      <c r="AX16" s="18">
        <v>0.1661</v>
      </c>
      <c r="AY16" s="18">
        <v>1.648E-14</v>
      </c>
      <c r="AZ16" s="18">
        <v>0.76359999999999995</v>
      </c>
      <c r="BA16" s="18">
        <v>3.15E-2</v>
      </c>
      <c r="BB16" s="18">
        <v>2.928E-3</v>
      </c>
      <c r="BC16" s="18">
        <v>1.4679999999999999E-7</v>
      </c>
      <c r="BD16" s="18">
        <v>1.925E-2</v>
      </c>
      <c r="BE16" s="18">
        <v>0.79159999999999997</v>
      </c>
      <c r="BF16" s="13"/>
      <c r="BG16" t="s">
        <v>1125</v>
      </c>
      <c r="BH16" t="s">
        <v>1126</v>
      </c>
      <c r="BI16" t="s">
        <v>1113</v>
      </c>
      <c r="BJ16" t="s">
        <v>1127</v>
      </c>
      <c r="BK16" t="s">
        <v>1115</v>
      </c>
      <c r="BL16" t="s">
        <v>1116</v>
      </c>
      <c r="BM16" t="s">
        <v>1117</v>
      </c>
      <c r="BN16" s="13"/>
      <c r="BO16" t="s">
        <v>973</v>
      </c>
      <c r="BP16">
        <v>1</v>
      </c>
      <c r="BQ16" t="s">
        <v>973</v>
      </c>
      <c r="BR16" t="s">
        <v>973</v>
      </c>
    </row>
    <row r="17" spans="1:70" x14ac:dyDescent="0.25">
      <c r="A17" t="s">
        <v>933</v>
      </c>
      <c r="B17" t="s">
        <v>522</v>
      </c>
      <c r="C17" t="s">
        <v>523</v>
      </c>
      <c r="D17" s="6"/>
      <c r="E17" s="9" t="str">
        <f>HYPERLINK("http://plants.ensembl.org/Triticum_aestivum/Gene/Summary?g=TRIAE_CS42_7DS_TGACv1_621499_AA2017480","TRIAE_CS42_7DS_TGACv1_621499_AA2017480")</f>
        <v>TRIAE_CS42_7DS_TGACv1_621499_AA2017480</v>
      </c>
      <c r="H17" s="8" t="str">
        <f>HYPERLINK("http://plants.ensembl.org/Brachypodium_distachyon/Gene/Summary?g=Bradi1g49560","Bradi1g49560")</f>
        <v>Bradi1g49560</v>
      </c>
      <c r="I17" s="1" t="s">
        <v>1051</v>
      </c>
      <c r="J17" s="9" t="str">
        <f>HYPERLINK("http://plants.ensembl.org/Oryza_sativa/Gene/Summary?db=otherfeatures;g=LOC_Os06g03670","LOC_Os06g03670")</f>
        <v>LOC_Os06g03670</v>
      </c>
      <c r="L17" s="6"/>
      <c r="M17" s="1" t="s">
        <v>973</v>
      </c>
      <c r="N17" s="1" t="s">
        <v>973</v>
      </c>
      <c r="O17" s="1" t="s">
        <v>973</v>
      </c>
      <c r="P17" s="1" t="s">
        <v>973</v>
      </c>
      <c r="Q17" s="1" t="s">
        <v>973</v>
      </c>
      <c r="R17" s="1" t="s">
        <v>973</v>
      </c>
      <c r="S17" s="1">
        <v>1</v>
      </c>
      <c r="T17" s="6"/>
      <c r="U17" s="11">
        <v>2.9308067113941294</v>
      </c>
      <c r="V17" s="11">
        <v>7.744755367103779</v>
      </c>
      <c r="W17" s="11">
        <v>0.78977097731005808</v>
      </c>
      <c r="X17" s="11">
        <v>4.706399777623675</v>
      </c>
      <c r="Y17" s="11">
        <v>2.6134766471564479</v>
      </c>
      <c r="Z17" s="11">
        <v>4.8786223582129553</v>
      </c>
      <c r="AA17" s="11">
        <v>2.0567915943774806</v>
      </c>
      <c r="AB17" s="11">
        <v>3.620117165028685</v>
      </c>
      <c r="AC17" s="11">
        <v>0.71319723651297251</v>
      </c>
      <c r="AD17" s="11">
        <v>0</v>
      </c>
      <c r="AE17" s="11">
        <v>0</v>
      </c>
      <c r="AF17" s="11">
        <v>1.6407443091219687</v>
      </c>
      <c r="AG17" s="11">
        <v>0.54220851432284045</v>
      </c>
      <c r="AH17" s="11">
        <v>0.87664463477313903</v>
      </c>
      <c r="AI17" s="11">
        <v>1.504993199336885</v>
      </c>
      <c r="AJ17" s="11">
        <v>3.9204743404087017</v>
      </c>
      <c r="AK17" s="6"/>
      <c r="AL17" t="s">
        <v>1090</v>
      </c>
      <c r="AM17">
        <v>0</v>
      </c>
      <c r="AN17" s="6"/>
      <c r="AO17" s="20">
        <v>3.1625999999999999</v>
      </c>
      <c r="AP17" s="20">
        <v>8.4747000000000003</v>
      </c>
      <c r="AQ17" s="20">
        <v>1.8445</v>
      </c>
      <c r="AR17" s="20">
        <v>3.2707000000000002</v>
      </c>
      <c r="AS17" s="20">
        <v>3.3673000000000002</v>
      </c>
      <c r="AT17" s="20">
        <v>4.7149999999999999</v>
      </c>
      <c r="AU17" s="20">
        <v>0.67630000000000001</v>
      </c>
      <c r="AV17" s="20">
        <v>-0.3165</v>
      </c>
      <c r="AW17" s="6"/>
      <c r="AX17" s="18">
        <v>1.1209999999999999E-2</v>
      </c>
      <c r="AY17" s="18">
        <v>5.9759999999999996E-11</v>
      </c>
      <c r="AZ17" s="18">
        <v>0.20710000000000001</v>
      </c>
      <c r="BA17" s="18">
        <v>9.655E-4</v>
      </c>
      <c r="BB17" s="18">
        <v>4.6470000000000001E-3</v>
      </c>
      <c r="BC17" s="18">
        <v>2.5089999999999999E-5</v>
      </c>
      <c r="BD17" s="18">
        <v>0.51990000000000003</v>
      </c>
      <c r="BE17" s="18">
        <v>0.72989999999999999</v>
      </c>
      <c r="BF17" s="13"/>
      <c r="BG17" t="s">
        <v>1125</v>
      </c>
      <c r="BH17" t="s">
        <v>1126</v>
      </c>
      <c r="BI17" t="s">
        <v>1113</v>
      </c>
      <c r="BJ17" t="s">
        <v>1127</v>
      </c>
      <c r="BK17" t="s">
        <v>1115</v>
      </c>
      <c r="BL17" t="s">
        <v>1116</v>
      </c>
      <c r="BM17" t="s">
        <v>1117</v>
      </c>
      <c r="BN17" s="13"/>
      <c r="BO17" t="s">
        <v>973</v>
      </c>
      <c r="BP17">
        <v>1</v>
      </c>
      <c r="BQ17" t="s">
        <v>973</v>
      </c>
      <c r="BR17" t="s">
        <v>973</v>
      </c>
    </row>
    <row r="18" spans="1:70" x14ac:dyDescent="0.25">
      <c r="A18" t="s">
        <v>934</v>
      </c>
      <c r="B18" t="s">
        <v>522</v>
      </c>
      <c r="C18" t="s">
        <v>523</v>
      </c>
      <c r="D18" s="6"/>
      <c r="E18" s="9" t="str">
        <f>HYPERLINK("http://plants.ensembl.org/Triticum_aestivum/Gene/Summary?g=TRIAE_CS42_7DS_TGACv1_621499_AA2017470","TRIAE_CS42_7DS_TGACv1_621499_AA2017470")</f>
        <v>TRIAE_CS42_7DS_TGACv1_621499_AA2017470</v>
      </c>
      <c r="H18" s="8" t="str">
        <f>HYPERLINK("http://plants.ensembl.org/Brachypodium_distachyon/Gene/Summary?g=Bradi1g49570","Bradi1g49570")</f>
        <v>Bradi1g49570</v>
      </c>
      <c r="I18" s="1" t="s">
        <v>1051</v>
      </c>
      <c r="J18" s="9" t="str">
        <f>HYPERLINK("http://plants.ensembl.org/Oryza_sativa/Gene/Summary?db=otherfeatures;g=LOC_Os06g03670","LOC_Os06g03670")</f>
        <v>LOC_Os06g03670</v>
      </c>
      <c r="L18" s="6"/>
      <c r="M18" s="1" t="s">
        <v>973</v>
      </c>
      <c r="N18" s="1" t="s">
        <v>973</v>
      </c>
      <c r="O18" s="1" t="s">
        <v>973</v>
      </c>
      <c r="P18" s="1" t="s">
        <v>973</v>
      </c>
      <c r="Q18" s="1" t="s">
        <v>973</v>
      </c>
      <c r="R18" s="1" t="s">
        <v>973</v>
      </c>
      <c r="S18" s="1">
        <v>1</v>
      </c>
      <c r="T18" s="6"/>
      <c r="U18" s="11">
        <v>2.5948192285238179</v>
      </c>
      <c r="V18" s="11">
        <v>8.8166890829392717</v>
      </c>
      <c r="W18" s="11">
        <v>0.31776713851221977</v>
      </c>
      <c r="X18" s="11">
        <v>5.2789053490593867</v>
      </c>
      <c r="Y18" s="11">
        <v>2.8030341130245513</v>
      </c>
      <c r="Z18" s="11">
        <v>5.2577825653716967</v>
      </c>
      <c r="AA18" s="11">
        <v>2.3270837200612293</v>
      </c>
      <c r="AB18" s="11">
        <v>3.8951248589770922</v>
      </c>
      <c r="AC18" s="11">
        <v>1.188337619351181</v>
      </c>
      <c r="AD18" s="11">
        <v>0</v>
      </c>
      <c r="AE18" s="11">
        <v>1.1020533827291881</v>
      </c>
      <c r="AF18" s="11">
        <v>1.4659048304837652</v>
      </c>
      <c r="AG18" s="11">
        <v>0.2964280392343483</v>
      </c>
      <c r="AH18" s="11">
        <v>0.40355859560642487</v>
      </c>
      <c r="AI18" s="11">
        <v>0.80256547730794425</v>
      </c>
      <c r="AJ18" s="11">
        <v>2.9130202304227937</v>
      </c>
      <c r="AK18" s="6"/>
      <c r="AL18" t="s">
        <v>1073</v>
      </c>
      <c r="AM18">
        <v>0</v>
      </c>
      <c r="AN18" s="6"/>
      <c r="AO18" s="20">
        <v>1.9156</v>
      </c>
      <c r="AP18" s="20">
        <v>9.5737000000000005</v>
      </c>
      <c r="AQ18" s="20">
        <v>-1.6415999999999999</v>
      </c>
      <c r="AR18" s="20">
        <v>4.0395000000000003</v>
      </c>
      <c r="AS18" s="20">
        <v>4.3090999999999999</v>
      </c>
      <c r="AT18" s="20">
        <v>6.2362000000000002</v>
      </c>
      <c r="AU18" s="20">
        <v>2.1962999999999999</v>
      </c>
      <c r="AV18" s="20">
        <v>1.0439000000000001</v>
      </c>
      <c r="AW18" s="6"/>
      <c r="AX18" s="18">
        <v>8.7279999999999996E-2</v>
      </c>
      <c r="AY18" s="18">
        <v>2.6290000000000001E-14</v>
      </c>
      <c r="AZ18" s="18">
        <v>0.23749999999999999</v>
      </c>
      <c r="BA18" s="18">
        <v>1.8139999999999999E-5</v>
      </c>
      <c r="BB18" s="18">
        <v>5.6760000000000003E-4</v>
      </c>
      <c r="BC18" s="18">
        <v>6.173E-7</v>
      </c>
      <c r="BD18" s="18">
        <v>4.616E-2</v>
      </c>
      <c r="BE18" s="18">
        <v>0.2288</v>
      </c>
      <c r="BF18" s="13"/>
      <c r="BG18" t="s">
        <v>1125</v>
      </c>
      <c r="BH18" t="s">
        <v>1126</v>
      </c>
      <c r="BI18" t="s">
        <v>1113</v>
      </c>
      <c r="BJ18" t="s">
        <v>1127</v>
      </c>
      <c r="BK18" t="s">
        <v>1115</v>
      </c>
      <c r="BL18" t="s">
        <v>1116</v>
      </c>
      <c r="BM18" t="s">
        <v>1117</v>
      </c>
      <c r="BN18" s="13"/>
      <c r="BO18" t="s">
        <v>973</v>
      </c>
      <c r="BP18">
        <v>1</v>
      </c>
      <c r="BQ18" t="s">
        <v>973</v>
      </c>
      <c r="BR18" t="s">
        <v>973</v>
      </c>
    </row>
    <row r="19" spans="1:70" x14ac:dyDescent="0.25">
      <c r="A19" t="s">
        <v>185</v>
      </c>
      <c r="B19" t="s">
        <v>162</v>
      </c>
      <c r="C19" t="s">
        <v>70</v>
      </c>
      <c r="D19" s="6"/>
      <c r="E19" s="9" t="str">
        <f>HYPERLINK("http://plants.ensembl.org/Triticum_aestivum/Gene/Summary?g=TRIAE_CS42_2AL_TGACv1_093763_AA0286280","TRIAE_CS42_2AL_TGACv1_093763_AA0286280")</f>
        <v>TRIAE_CS42_2AL_TGACv1_093763_AA0286280</v>
      </c>
      <c r="F19" s="9" t="str">
        <f>HYPERLINK("http://mar2016-plants.ensembl.org/Triticum_aestivum/Gene/Summary?db=core;g=Traes_2AL_CB95E606C","Traes_2AL_CB95E606C")</f>
        <v>Traes_2AL_CB95E606C</v>
      </c>
      <c r="G19" t="s">
        <v>985</v>
      </c>
      <c r="H19" s="8" t="str">
        <f>HYPERLINK("http://plants.ensembl.org/Brachypodium_distachyon/Gene/Summary?g=Bradi5g23600","Bradi5g23600")</f>
        <v>Bradi5g23600</v>
      </c>
      <c r="I19" s="1" t="s">
        <v>1051</v>
      </c>
      <c r="J19" s="9" t="str">
        <f>HYPERLINK("http://plants.ensembl.org/Oryza_sativa/Gene/Summary?db=otherfeatures;g=LOC_Os04g38570","LOC_Os04g38570")</f>
        <v>LOC_Os04g38570</v>
      </c>
      <c r="K19" s="9" t="str">
        <f>HYPERLINK("http://plants.ensembl.org/Zea_mays/Gene/Summary?db=otherfeatures;g=GRMZM2G085236","GRMZM2G085236")</f>
        <v>GRMZM2G085236</v>
      </c>
      <c r="L19" s="6"/>
      <c r="M19" t="s">
        <v>973</v>
      </c>
      <c r="N19" t="s">
        <v>973</v>
      </c>
      <c r="O19" t="s">
        <v>973</v>
      </c>
      <c r="P19">
        <v>1</v>
      </c>
      <c r="S19" t="s">
        <v>973</v>
      </c>
      <c r="T19" s="6"/>
      <c r="U19" s="11">
        <v>5.389753790176572</v>
      </c>
      <c r="V19" s="11">
        <v>4.0997384381043762</v>
      </c>
      <c r="W19" s="11">
        <v>6.2388619979971169</v>
      </c>
      <c r="X19" s="11">
        <v>5.479031107421914</v>
      </c>
      <c r="Y19" s="11">
        <v>6.0991556136130383</v>
      </c>
      <c r="Z19" s="11">
        <v>5.7871015651657567</v>
      </c>
      <c r="AA19" s="11">
        <v>6.7749710628505708</v>
      </c>
      <c r="AB19" s="11">
        <v>6.1200117985192115</v>
      </c>
      <c r="AC19" s="11">
        <v>7.5039250937370454</v>
      </c>
      <c r="AD19" s="11">
        <v>6.4744252267846605</v>
      </c>
      <c r="AE19" s="11">
        <v>7.0616376086970867</v>
      </c>
      <c r="AF19" s="11">
        <v>6.8387307921938039</v>
      </c>
      <c r="AG19" s="11">
        <v>7.2815542206539989</v>
      </c>
      <c r="AH19" s="11">
        <v>6.578839109369893</v>
      </c>
      <c r="AI19" s="11">
        <v>7.2291748319096625</v>
      </c>
      <c r="AJ19" s="11">
        <v>6.4749481101867268</v>
      </c>
      <c r="AK19" s="6"/>
      <c r="AL19" t="s">
        <v>1079</v>
      </c>
      <c r="AM19">
        <v>0</v>
      </c>
      <c r="AN19" s="6"/>
      <c r="AO19" s="20">
        <v>-2.3723000000000001</v>
      </c>
      <c r="AP19" s="20">
        <v>-2.3858999999999999</v>
      </c>
      <c r="AQ19" s="20">
        <v>-0.82669999999999999</v>
      </c>
      <c r="AR19" s="20">
        <v>-1.3724000000000001</v>
      </c>
      <c r="AS19" s="20">
        <v>-1.1851</v>
      </c>
      <c r="AT19" s="20">
        <v>-0.7944</v>
      </c>
      <c r="AU19" s="20">
        <v>-0.45340000000000003</v>
      </c>
      <c r="AV19" s="20">
        <v>-0.35630000000000001</v>
      </c>
      <c r="AW19" s="6"/>
      <c r="AX19" s="18">
        <v>3.0760000000000001E-16</v>
      </c>
      <c r="AY19" s="18">
        <v>2.6650000000000001E-7</v>
      </c>
      <c r="AZ19" s="18">
        <v>4.2700000000000002E-4</v>
      </c>
      <c r="BA19" s="18">
        <v>4.5289999999999997E-8</v>
      </c>
      <c r="BB19" s="18">
        <v>5.0330000000000001E-7</v>
      </c>
      <c r="BC19" s="18">
        <v>1.214E-3</v>
      </c>
      <c r="BD19" s="18">
        <v>4.6190000000000002E-2</v>
      </c>
      <c r="BE19" s="18">
        <v>0.14430000000000001</v>
      </c>
      <c r="BF19" s="13"/>
      <c r="BG19" t="s">
        <v>1370</v>
      </c>
      <c r="BH19" t="s">
        <v>1216</v>
      </c>
      <c r="BI19" t="s">
        <v>1113</v>
      </c>
      <c r="BJ19" t="s">
        <v>1114</v>
      </c>
      <c r="BK19" t="s">
        <v>1182</v>
      </c>
      <c r="BL19" t="s">
        <v>1116</v>
      </c>
      <c r="BM19" t="s">
        <v>1117</v>
      </c>
      <c r="BN19" s="13"/>
      <c r="BO19" t="s">
        <v>973</v>
      </c>
      <c r="BP19" t="s">
        <v>973</v>
      </c>
      <c r="BQ19" t="s">
        <v>973</v>
      </c>
      <c r="BR19" t="s">
        <v>973</v>
      </c>
    </row>
    <row r="20" spans="1:70" x14ac:dyDescent="0.25">
      <c r="A20" t="s">
        <v>74</v>
      </c>
      <c r="B20" t="s">
        <v>75</v>
      </c>
      <c r="C20" t="s">
        <v>76</v>
      </c>
      <c r="D20" s="6"/>
      <c r="E20" s="9" t="str">
        <f>HYPERLINK("http://plants.ensembl.org/Triticum_aestivum/Gene/Summary?g=TRIAE_CS42_1BS_TGACv1_049367_AA0150820","TRIAE_CS42_1BS_TGACv1_049367_AA0150820")</f>
        <v>TRIAE_CS42_1BS_TGACv1_049367_AA0150820</v>
      </c>
      <c r="F20" s="9" t="str">
        <f>HYPERLINK("http://mar2016-plants.ensembl.org/Triticum_aestivum/Gene/Summary?db=core;g=Traes_1BS_F1838F858","Traes_1BS_F1838F858")</f>
        <v>Traes_1BS_F1838F858</v>
      </c>
      <c r="H20" s="8" t="str">
        <f>HYPERLINK("http://plants.ensembl.org/Brachypodium_distachyon/Gene/Summary?g=Bradi2g32250","Bradi2g32250")</f>
        <v>Bradi2g32250</v>
      </c>
      <c r="I20" s="8" t="str">
        <f>HYPERLINK("http://plants.ensembl.org/Arabidopsis_thaliana/Gene/Summary?g=AT5G53160","AT5G53160")</f>
        <v>AT5G53160</v>
      </c>
      <c r="J20" s="9" t="str">
        <f>HYPERLINK("http://plants.ensembl.org/Oryza_sativa/Gene/Summary?db=otherfeatures;g=LOC_Os05g12260","LOC_Os05g12260")</f>
        <v>LOC_Os05g12260</v>
      </c>
      <c r="L20" s="6"/>
      <c r="M20" s="1" t="s">
        <v>973</v>
      </c>
      <c r="N20" s="1" t="s">
        <v>973</v>
      </c>
      <c r="O20" s="1" t="s">
        <v>973</v>
      </c>
      <c r="P20" s="1" t="s">
        <v>973</v>
      </c>
      <c r="Q20" s="1" t="s">
        <v>973</v>
      </c>
      <c r="R20" s="1" t="s">
        <v>973</v>
      </c>
      <c r="S20" s="1">
        <v>1</v>
      </c>
      <c r="T20" s="6"/>
      <c r="U20" s="11">
        <v>6.8324153653560886</v>
      </c>
      <c r="V20" s="11">
        <v>7.4483164994492395</v>
      </c>
      <c r="W20" s="11">
        <v>6.4411237790870874</v>
      </c>
      <c r="X20" s="11">
        <v>6.6920756322545074</v>
      </c>
      <c r="Y20" s="11">
        <v>6.7122523062473682</v>
      </c>
      <c r="Z20" s="11">
        <v>6.6112053381262639</v>
      </c>
      <c r="AA20" s="11">
        <v>3.4479494099162471</v>
      </c>
      <c r="AB20" s="11">
        <v>2.2264571508652855</v>
      </c>
      <c r="AC20" s="11">
        <v>6.7346662709911911</v>
      </c>
      <c r="AD20" s="11">
        <v>6.5144805217826027</v>
      </c>
      <c r="AE20" s="11">
        <v>6.4094859811507128</v>
      </c>
      <c r="AF20" s="11">
        <v>6.0385429984761529</v>
      </c>
      <c r="AG20" s="11">
        <v>6.364609199540765</v>
      </c>
      <c r="AH20" s="11">
        <v>5.9035364410694866</v>
      </c>
      <c r="AI20" s="11">
        <v>0.80256547730794425</v>
      </c>
      <c r="AJ20" s="11">
        <v>1.6130915480930283</v>
      </c>
      <c r="AK20" s="6"/>
      <c r="AL20" t="s">
        <v>1083</v>
      </c>
      <c r="AM20">
        <v>165</v>
      </c>
      <c r="AN20" s="6"/>
      <c r="AO20" s="20">
        <v>0.15820000000000001</v>
      </c>
      <c r="AP20" s="20">
        <v>0.86629999999999996</v>
      </c>
      <c r="AQ20" s="20">
        <v>3.5200000000000002E-2</v>
      </c>
      <c r="AR20" s="20">
        <v>0.68059999999999998</v>
      </c>
      <c r="AS20" s="20">
        <v>0.35460000000000003</v>
      </c>
      <c r="AT20" s="20">
        <v>0.72170000000000001</v>
      </c>
      <c r="AU20" s="20">
        <v>3.3329</v>
      </c>
      <c r="AV20" s="20">
        <v>0.81969999999999998</v>
      </c>
      <c r="AW20" s="6"/>
      <c r="AX20" s="18">
        <v>0.52149999999999996</v>
      </c>
      <c r="AY20" s="18">
        <v>1.482E-3</v>
      </c>
      <c r="AZ20" s="18">
        <v>0.88100000000000001</v>
      </c>
      <c r="BA20" s="18">
        <v>4.6569999999999997E-3</v>
      </c>
      <c r="BB20" s="18">
        <v>0.1242</v>
      </c>
      <c r="BC20" s="18">
        <v>2.8779999999999999E-3</v>
      </c>
      <c r="BD20" s="18">
        <v>1.203E-5</v>
      </c>
      <c r="BE20" s="18">
        <v>0.21160000000000001</v>
      </c>
      <c r="BF20" s="13"/>
      <c r="BG20" t="s">
        <v>1111</v>
      </c>
      <c r="BH20" t="s">
        <v>1293</v>
      </c>
      <c r="BI20" t="s">
        <v>1222</v>
      </c>
      <c r="BJ20" t="s">
        <v>1114</v>
      </c>
      <c r="BK20" t="s">
        <v>1115</v>
      </c>
      <c r="BL20" t="s">
        <v>1348</v>
      </c>
      <c r="BM20" t="s">
        <v>1117</v>
      </c>
      <c r="BN20" s="13"/>
      <c r="BO20" t="s">
        <v>973</v>
      </c>
      <c r="BP20" t="s">
        <v>973</v>
      </c>
      <c r="BQ20" t="s">
        <v>973</v>
      </c>
      <c r="BR20" t="s">
        <v>973</v>
      </c>
    </row>
    <row r="21" spans="1:70" x14ac:dyDescent="0.25">
      <c r="A21" t="s">
        <v>196</v>
      </c>
      <c r="B21" t="s">
        <v>197</v>
      </c>
      <c r="C21" t="s">
        <v>76</v>
      </c>
      <c r="D21" s="6"/>
      <c r="E21" s="9" t="str">
        <f>HYPERLINK("http://plants.ensembl.org/Triticum_aestivum/Gene/Summary?g=TRIAE_CS42_2BS_TGACv1_146985_AA0476180","TRIAE_CS42_2BS_TGACv1_146985_AA0476180")</f>
        <v>TRIAE_CS42_2BS_TGACv1_146985_AA0476180</v>
      </c>
      <c r="F21" s="9" t="str">
        <f>HYPERLINK("http://mar2016-plants.ensembl.org/Triticum_aestivum/Gene/Summary?db=core;g=Traes_2BS_6428AA6CC","Traes_2BS_6428AA6CC")</f>
        <v>Traes_2BS_6428AA6CC</v>
      </c>
      <c r="H21" s="1" t="s">
        <v>1051</v>
      </c>
      <c r="I21" s="1" t="s">
        <v>1051</v>
      </c>
      <c r="J21" s="1" t="s">
        <v>1051</v>
      </c>
      <c r="L21" s="6"/>
      <c r="M21" s="1" t="s">
        <v>973</v>
      </c>
      <c r="N21" s="1" t="s">
        <v>973</v>
      </c>
      <c r="O21" s="1" t="s">
        <v>973</v>
      </c>
      <c r="P21" s="1" t="s">
        <v>973</v>
      </c>
      <c r="Q21" s="1" t="s">
        <v>973</v>
      </c>
      <c r="R21" s="1" t="s">
        <v>973</v>
      </c>
      <c r="S21" s="1">
        <v>1</v>
      </c>
      <c r="T21" s="6"/>
      <c r="U21" s="11">
        <v>6.8319300073381646</v>
      </c>
      <c r="V21" s="11">
        <v>8.1022003935654663</v>
      </c>
      <c r="W21" s="11">
        <v>5.9329619443704935</v>
      </c>
      <c r="X21" s="11">
        <v>5.6874358746735192</v>
      </c>
      <c r="Y21" s="11">
        <v>5.5559214499642691</v>
      </c>
      <c r="Z21" s="11">
        <v>5.3524019025628897</v>
      </c>
      <c r="AA21" s="11">
        <v>6.1303934646589253</v>
      </c>
      <c r="AB21" s="11">
        <v>4.6620592474828007</v>
      </c>
      <c r="AC21" s="11">
        <v>4.1129697442006501</v>
      </c>
      <c r="AD21" s="11">
        <v>3.2289007614793213</v>
      </c>
      <c r="AE21" s="11">
        <v>4.1169413645586381</v>
      </c>
      <c r="AF21" s="11">
        <v>3.8085120489122901</v>
      </c>
      <c r="AG21" s="11">
        <v>4.0518100066084966</v>
      </c>
      <c r="AH21" s="11">
        <v>3.5424850654592821</v>
      </c>
      <c r="AI21" s="11">
        <v>3.7421355947546209</v>
      </c>
      <c r="AJ21" s="11">
        <v>2.730886270765037</v>
      </c>
      <c r="AK21" s="6"/>
      <c r="AL21" t="s">
        <v>1077</v>
      </c>
      <c r="AM21">
        <v>163</v>
      </c>
      <c r="AN21" s="6"/>
      <c r="AO21" s="20">
        <v>2.8045</v>
      </c>
      <c r="AP21" s="20">
        <v>4.5415000000000001</v>
      </c>
      <c r="AQ21" s="20">
        <v>1.8398000000000001</v>
      </c>
      <c r="AR21" s="20">
        <v>1.8725000000000001</v>
      </c>
      <c r="AS21" s="20">
        <v>1.5238</v>
      </c>
      <c r="AT21" s="20">
        <v>1.871</v>
      </c>
      <c r="AU21" s="20">
        <v>2.4338000000000002</v>
      </c>
      <c r="AV21" s="20">
        <v>2.0451999999999999</v>
      </c>
      <c r="AW21" s="6"/>
      <c r="AX21" s="18">
        <v>1.8170000000000001E-5</v>
      </c>
      <c r="AY21" s="18">
        <v>1.8839999999999999E-10</v>
      </c>
      <c r="AZ21" s="18">
        <v>4.3439999999999998E-3</v>
      </c>
      <c r="BA21" s="18">
        <v>4.2810000000000001E-3</v>
      </c>
      <c r="BB21" s="18">
        <v>1.7559999999999999E-2</v>
      </c>
      <c r="BC21" s="18">
        <v>4.9109999999999996E-3</v>
      </c>
      <c r="BD21" s="18">
        <v>1.808E-4</v>
      </c>
      <c r="BE21" s="18">
        <v>3.2950000000000002E-3</v>
      </c>
      <c r="BF21" s="13"/>
      <c r="BG21" t="s">
        <v>1191</v>
      </c>
      <c r="BH21" t="s">
        <v>1126</v>
      </c>
      <c r="BI21" t="s">
        <v>1113</v>
      </c>
      <c r="BJ21" t="s">
        <v>1114</v>
      </c>
      <c r="BK21" t="s">
        <v>1115</v>
      </c>
      <c r="BL21" t="s">
        <v>1116</v>
      </c>
      <c r="BM21" t="s">
        <v>1117</v>
      </c>
      <c r="BN21" s="13"/>
      <c r="BO21" t="s">
        <v>973</v>
      </c>
      <c r="BP21" t="s">
        <v>973</v>
      </c>
      <c r="BQ21" t="s">
        <v>973</v>
      </c>
      <c r="BR21" t="s">
        <v>973</v>
      </c>
    </row>
    <row r="22" spans="1:70" x14ac:dyDescent="0.25">
      <c r="A22" t="s">
        <v>252</v>
      </c>
      <c r="B22" t="s">
        <v>197</v>
      </c>
      <c r="C22" t="s">
        <v>76</v>
      </c>
      <c r="D22" s="6"/>
      <c r="E22" s="9" t="str">
        <f>HYPERLINK("http://plants.ensembl.org/Triticum_aestivum/Gene/Summary?g=TRIAE_CS42_2DS_TGACv1_177319_AA0573240","TRIAE_CS42_2DS_TGACv1_177319_AA0573240")</f>
        <v>TRIAE_CS42_2DS_TGACv1_177319_AA0573240</v>
      </c>
      <c r="F22" s="9" t="str">
        <f>HYPERLINK("http://mar2016-plants.ensembl.org/Triticum_aestivum/Gene/Summary?db=core;g=Traes_2DS_9A99C3160","Traes_2DS_9A99C3160")</f>
        <v>Traes_2DS_9A99C3160</v>
      </c>
      <c r="H22" s="1" t="s">
        <v>1051</v>
      </c>
      <c r="I22" s="1" t="s">
        <v>1051</v>
      </c>
      <c r="J22" s="1" t="s">
        <v>1051</v>
      </c>
      <c r="L22" s="6"/>
      <c r="M22" s="1" t="s">
        <v>973</v>
      </c>
      <c r="N22" s="1" t="s">
        <v>973</v>
      </c>
      <c r="O22" s="1" t="s">
        <v>973</v>
      </c>
      <c r="P22" s="1" t="s">
        <v>973</v>
      </c>
      <c r="Q22" s="1" t="s">
        <v>973</v>
      </c>
      <c r="R22" s="1" t="s">
        <v>973</v>
      </c>
      <c r="S22" s="1">
        <v>1</v>
      </c>
      <c r="T22" s="6"/>
      <c r="U22" s="11">
        <v>6.1208702950250808</v>
      </c>
      <c r="V22" s="11">
        <v>7.3144968423608763</v>
      </c>
      <c r="W22" s="11">
        <v>3.7930114797411263</v>
      </c>
      <c r="X22" s="11">
        <v>4.5648415126773791</v>
      </c>
      <c r="Y22" s="11">
        <v>2.8876617354397949</v>
      </c>
      <c r="Z22" s="11">
        <v>4.1113151480735919</v>
      </c>
      <c r="AA22" s="11">
        <v>4.5319158085754419</v>
      </c>
      <c r="AB22" s="11">
        <v>2.6876878107322448</v>
      </c>
      <c r="AC22" s="11">
        <v>1.624740390578133</v>
      </c>
      <c r="AD22" s="11">
        <v>0.97063281676969426</v>
      </c>
      <c r="AE22" s="11">
        <v>1.4071170418383279</v>
      </c>
      <c r="AF22" s="11">
        <v>0.87863380116122303</v>
      </c>
      <c r="AG22" s="11">
        <v>1.1826287412686463</v>
      </c>
      <c r="AH22" s="11">
        <v>0.97692569456687528</v>
      </c>
      <c r="AI22" s="11">
        <v>1.1824168668864163</v>
      </c>
      <c r="AJ22" s="11">
        <v>0.60729480081921261</v>
      </c>
      <c r="AK22" s="6"/>
      <c r="AL22" t="s">
        <v>1077</v>
      </c>
      <c r="AM22">
        <v>233</v>
      </c>
      <c r="AN22" s="6"/>
      <c r="AO22" s="20">
        <v>4.7201000000000004</v>
      </c>
      <c r="AP22" s="20">
        <v>6.1250999999999998</v>
      </c>
      <c r="AQ22" s="20">
        <v>2.6732</v>
      </c>
      <c r="AR22" s="20">
        <v>4.2374999999999998</v>
      </c>
      <c r="AS22" s="20">
        <v>2.0657999999999999</v>
      </c>
      <c r="AT22" s="20">
        <v>3.6413000000000002</v>
      </c>
      <c r="AU22" s="20">
        <v>3.7042999999999999</v>
      </c>
      <c r="AV22" s="20">
        <v>2.8435000000000001</v>
      </c>
      <c r="AW22" s="6"/>
      <c r="AX22" s="18">
        <v>3.9859999999999999E-4</v>
      </c>
      <c r="AY22" s="18">
        <v>1.202E-5</v>
      </c>
      <c r="AZ22" s="18">
        <v>4.5409999999999999E-2</v>
      </c>
      <c r="BA22" s="18">
        <v>2.3349999999999998E-3</v>
      </c>
      <c r="BB22" s="18">
        <v>0.12280000000000001</v>
      </c>
      <c r="BC22" s="18">
        <v>8.5400000000000007E-3</v>
      </c>
      <c r="BD22" s="18">
        <v>5.8539999999999998E-3</v>
      </c>
      <c r="BE22" s="18">
        <v>4.8570000000000002E-2</v>
      </c>
      <c r="BF22" s="13"/>
      <c r="BG22" t="s">
        <v>1125</v>
      </c>
      <c r="BH22" t="s">
        <v>1155</v>
      </c>
      <c r="BI22" t="s">
        <v>1113</v>
      </c>
      <c r="BJ22" t="s">
        <v>1114</v>
      </c>
      <c r="BK22" t="s">
        <v>1115</v>
      </c>
      <c r="BL22" t="s">
        <v>1116</v>
      </c>
      <c r="BM22" t="s">
        <v>1117</v>
      </c>
      <c r="BN22" s="13"/>
      <c r="BO22" t="s">
        <v>973</v>
      </c>
      <c r="BP22" t="s">
        <v>973</v>
      </c>
      <c r="BQ22" t="s">
        <v>973</v>
      </c>
      <c r="BR22" t="s">
        <v>973</v>
      </c>
    </row>
    <row r="23" spans="1:70" x14ac:dyDescent="0.25">
      <c r="A23" t="s">
        <v>865</v>
      </c>
      <c r="B23" t="s">
        <v>866</v>
      </c>
      <c r="C23" t="s">
        <v>76</v>
      </c>
      <c r="D23" s="6"/>
      <c r="H23" s="1" t="s">
        <v>1051</v>
      </c>
      <c r="I23" s="1" t="s">
        <v>1051</v>
      </c>
      <c r="J23" s="1" t="s">
        <v>1051</v>
      </c>
      <c r="L23" s="6"/>
      <c r="M23" s="1" t="s">
        <v>973</v>
      </c>
      <c r="N23" s="1" t="s">
        <v>973</v>
      </c>
      <c r="O23" s="1" t="s">
        <v>973</v>
      </c>
      <c r="P23" s="1" t="s">
        <v>973</v>
      </c>
      <c r="Q23" s="1" t="s">
        <v>973</v>
      </c>
      <c r="R23" s="1" t="s">
        <v>973</v>
      </c>
      <c r="S23" s="1">
        <v>1</v>
      </c>
      <c r="T23" s="6"/>
      <c r="U23" s="11">
        <v>2.4450821838645602</v>
      </c>
      <c r="V23" s="11">
        <v>7.1828376057091825</v>
      </c>
      <c r="W23" s="11">
        <v>2.3155662303189488</v>
      </c>
      <c r="X23" s="11">
        <v>5.8882245159158417</v>
      </c>
      <c r="Y23" s="11">
        <v>3.3334380461050004</v>
      </c>
      <c r="Z23" s="11">
        <v>5.6792942965701734</v>
      </c>
      <c r="AA23" s="11">
        <v>3.3291140261434671</v>
      </c>
      <c r="AB23" s="11">
        <v>5.1767589198094157</v>
      </c>
      <c r="AC23" s="11">
        <v>1.0328531529534626</v>
      </c>
      <c r="AD23" s="11">
        <v>6.9090874291111088</v>
      </c>
      <c r="AE23" s="11">
        <v>3.2967755238742176</v>
      </c>
      <c r="AF23" s="11">
        <v>5.0338194128839735</v>
      </c>
      <c r="AG23" s="11">
        <v>1.7913834553144592</v>
      </c>
      <c r="AH23" s="11">
        <v>6.2840489035893139</v>
      </c>
      <c r="AI23" s="11">
        <v>2.0609812004789814</v>
      </c>
      <c r="AJ23" s="11">
        <v>5.3495280528790436</v>
      </c>
      <c r="AK23" s="6"/>
      <c r="AL23" t="s">
        <v>1080</v>
      </c>
      <c r="AM23">
        <v>0</v>
      </c>
      <c r="AN23" s="6"/>
      <c r="AO23" s="20">
        <v>1.6034999999999999</v>
      </c>
      <c r="AP23" s="20">
        <v>0.24049999999999999</v>
      </c>
      <c r="AQ23" s="20">
        <v>-1.0891</v>
      </c>
      <c r="AR23" s="20">
        <v>0.83740000000000003</v>
      </c>
      <c r="AS23" s="20">
        <v>1.881</v>
      </c>
      <c r="AT23" s="20">
        <v>-0.59760000000000002</v>
      </c>
      <c r="AU23" s="20">
        <v>1.4500999999999999</v>
      </c>
      <c r="AV23" s="20">
        <v>-0.17150000000000001</v>
      </c>
      <c r="AW23" s="6"/>
      <c r="AX23" s="18">
        <v>0.14940000000000001</v>
      </c>
      <c r="AY23" s="18">
        <v>0.74219999999999997</v>
      </c>
      <c r="AZ23" s="18">
        <v>0.1794</v>
      </c>
      <c r="BA23" s="18">
        <v>0.24590000000000001</v>
      </c>
      <c r="BB23" s="18">
        <v>2.2950000000000002E-2</v>
      </c>
      <c r="BC23" s="18">
        <v>0.40310000000000001</v>
      </c>
      <c r="BD23" s="18">
        <v>7.8060000000000004E-2</v>
      </c>
      <c r="BE23" s="18">
        <v>0.8125</v>
      </c>
      <c r="BF23" s="13"/>
      <c r="BG23" t="s">
        <v>1111</v>
      </c>
      <c r="BH23" t="s">
        <v>1155</v>
      </c>
      <c r="BI23" t="s">
        <v>1113</v>
      </c>
      <c r="BJ23" t="s">
        <v>1127</v>
      </c>
      <c r="BK23" t="s">
        <v>1151</v>
      </c>
      <c r="BL23" t="s">
        <v>1116</v>
      </c>
      <c r="BM23" t="s">
        <v>1117</v>
      </c>
      <c r="BN23" s="13"/>
      <c r="BO23" t="s">
        <v>973</v>
      </c>
      <c r="BP23" t="s">
        <v>973</v>
      </c>
      <c r="BQ23" t="s">
        <v>973</v>
      </c>
      <c r="BR23" t="s">
        <v>973</v>
      </c>
    </row>
    <row r="24" spans="1:70" x14ac:dyDescent="0.25">
      <c r="A24" t="s">
        <v>947</v>
      </c>
      <c r="B24" t="s">
        <v>197</v>
      </c>
      <c r="C24" t="s">
        <v>76</v>
      </c>
      <c r="D24" s="6"/>
      <c r="E24" s="9" t="str">
        <f>HYPERLINK("http://plants.ensembl.org/Triticum_aestivum/Gene/Summary?g=TRIAE_CS42_7AL_TGACv1_559373_AA1799370","TRIAE_CS42_7AL_TGACv1_559373_AA1799370")</f>
        <v>TRIAE_CS42_7AL_TGACv1_559373_AA1799370</v>
      </c>
      <c r="F24" s="9" t="str">
        <f>HYPERLINK("http://mar2016-plants.ensembl.org/Triticum_aestivum/Gene/Summary?db=core;g=Traes_7AL_66779BB7C","Traes_7AL_66779BB7C")</f>
        <v>Traes_7AL_66779BB7C</v>
      </c>
      <c r="H24" s="1" t="s">
        <v>1051</v>
      </c>
      <c r="I24" s="1" t="s">
        <v>1051</v>
      </c>
      <c r="J24" s="1" t="s">
        <v>1051</v>
      </c>
      <c r="L24" s="6"/>
      <c r="M24" s="1" t="s">
        <v>973</v>
      </c>
      <c r="N24" s="1" t="s">
        <v>973</v>
      </c>
      <c r="O24" s="1" t="s">
        <v>973</v>
      </c>
      <c r="P24" s="1" t="s">
        <v>973</v>
      </c>
      <c r="Q24" s="1" t="s">
        <v>973</v>
      </c>
      <c r="R24" s="1" t="s">
        <v>973</v>
      </c>
      <c r="S24" s="1">
        <v>1</v>
      </c>
      <c r="T24" s="6"/>
      <c r="U24" s="11">
        <v>2.2439127588731749</v>
      </c>
      <c r="V24" s="11">
        <v>7.7735526650866085</v>
      </c>
      <c r="W24" s="11">
        <v>1.4401903531203015</v>
      </c>
      <c r="X24" s="11">
        <v>5.9673477033767739</v>
      </c>
      <c r="Y24" s="11">
        <v>0.90912024012413351</v>
      </c>
      <c r="Z24" s="11">
        <v>5.6843905024576964</v>
      </c>
      <c r="AA24" s="11">
        <v>2.630149155990936</v>
      </c>
      <c r="AB24" s="11">
        <v>5.1118576197425547</v>
      </c>
      <c r="AC24" s="11">
        <v>0.39469705099466834</v>
      </c>
      <c r="AD24" s="11">
        <v>7.8197584342584321</v>
      </c>
      <c r="AE24" s="11">
        <v>1.9031411324024203</v>
      </c>
      <c r="AF24" s="11">
        <v>4.7645885515325128</v>
      </c>
      <c r="AG24" s="11">
        <v>0.2964280392343483</v>
      </c>
      <c r="AH24" s="11">
        <v>6.0179872137020816</v>
      </c>
      <c r="AI24" s="11">
        <v>1.209661306684497</v>
      </c>
      <c r="AJ24" s="11">
        <v>4.9818100414145148</v>
      </c>
      <c r="AK24" s="6"/>
      <c r="AL24" t="s">
        <v>1080</v>
      </c>
      <c r="AM24">
        <v>0</v>
      </c>
      <c r="AN24" s="6"/>
      <c r="AO24" s="20">
        <v>2.8246000000000002</v>
      </c>
      <c r="AP24" s="20">
        <v>-4.0800000000000003E-2</v>
      </c>
      <c r="AQ24" s="20">
        <v>-0.60909999999999997</v>
      </c>
      <c r="AR24" s="20">
        <v>1.1996</v>
      </c>
      <c r="AS24" s="20">
        <v>1.7235</v>
      </c>
      <c r="AT24" s="20">
        <v>-0.3276</v>
      </c>
      <c r="AU24" s="20">
        <v>1.8878999999999999</v>
      </c>
      <c r="AV24" s="20">
        <v>0.1336</v>
      </c>
      <c r="AW24" s="6"/>
      <c r="AX24" s="18">
        <v>2.512E-2</v>
      </c>
      <c r="AY24" s="18">
        <v>0.95220000000000005</v>
      </c>
      <c r="AZ24" s="18">
        <v>0.50819999999999999</v>
      </c>
      <c r="BA24" s="18">
        <v>7.9689999999999997E-2</v>
      </c>
      <c r="BB24" s="18">
        <v>0.19020000000000001</v>
      </c>
      <c r="BC24" s="18">
        <v>0.62780000000000002</v>
      </c>
      <c r="BD24" s="18">
        <v>3.771E-2</v>
      </c>
      <c r="BE24" s="18">
        <v>0.8458</v>
      </c>
      <c r="BF24" s="13"/>
      <c r="BG24" t="s">
        <v>1111</v>
      </c>
      <c r="BH24" t="s">
        <v>1126</v>
      </c>
      <c r="BI24" t="s">
        <v>1162</v>
      </c>
      <c r="BJ24" t="s">
        <v>1127</v>
      </c>
      <c r="BK24" t="s">
        <v>1151</v>
      </c>
      <c r="BL24" t="s">
        <v>1116</v>
      </c>
      <c r="BM24" t="s">
        <v>1117</v>
      </c>
      <c r="BN24" s="13"/>
      <c r="BO24" t="s">
        <v>973</v>
      </c>
      <c r="BP24" t="s">
        <v>973</v>
      </c>
      <c r="BQ24" t="s">
        <v>973</v>
      </c>
      <c r="BR24" t="s">
        <v>973</v>
      </c>
    </row>
    <row r="25" spans="1:70" x14ac:dyDescent="0.25">
      <c r="A25" t="s">
        <v>402</v>
      </c>
      <c r="B25" t="s">
        <v>403</v>
      </c>
      <c r="C25" t="s">
        <v>404</v>
      </c>
      <c r="D25" s="6"/>
      <c r="E25" s="9" t="str">
        <f>HYPERLINK("http://plants.ensembl.org/Triticum_aestivum/Gene/Summary?g=TRIAE_CS42_3DS_TGACv1_272268_AA0918120","TRIAE_CS42_3DS_TGACv1_272268_AA0918120")</f>
        <v>TRIAE_CS42_3DS_TGACv1_272268_AA0918120</v>
      </c>
      <c r="H25" s="8" t="str">
        <f>HYPERLINK("http://plants.ensembl.org/Brachypodium_distachyon/Gene/Summary?g=Bradi2g01990","Bradi2g01990")</f>
        <v>Bradi2g01990</v>
      </c>
      <c r="I25" s="8" t="str">
        <f>HYPERLINK("http://plants.ensembl.org/Arabidopsis_thaliana/Gene/Summary?g=AT1G67080","AT1G67080")</f>
        <v>AT1G67080</v>
      </c>
      <c r="J25" s="9" t="str">
        <f>HYPERLINK("http://plants.ensembl.org/Oryza_sativa/Gene/Summary?db=otherfeatures;g=LOC_Os01g03750","LOC_Os01g03750")</f>
        <v>LOC_Os01g03750</v>
      </c>
      <c r="L25" s="6"/>
      <c r="M25" s="1" t="s">
        <v>973</v>
      </c>
      <c r="N25" s="1" t="s">
        <v>973</v>
      </c>
      <c r="O25" s="1" t="s">
        <v>973</v>
      </c>
      <c r="P25" s="1" t="s">
        <v>973</v>
      </c>
      <c r="Q25" s="1" t="s">
        <v>973</v>
      </c>
      <c r="R25" s="1" t="s">
        <v>973</v>
      </c>
      <c r="S25" s="1">
        <v>1</v>
      </c>
      <c r="T25" s="6"/>
      <c r="U25" s="11">
        <v>7.9972993711602616</v>
      </c>
      <c r="V25" s="11">
        <v>8.8822907890749043</v>
      </c>
      <c r="W25" s="11">
        <v>7.4402808986343416</v>
      </c>
      <c r="X25" s="11">
        <v>8.1842015974115068</v>
      </c>
      <c r="Y25" s="11">
        <v>6.9334526447273364</v>
      </c>
      <c r="Z25" s="11">
        <v>7.5117766326089663</v>
      </c>
      <c r="AA25" s="11">
        <v>7.5186295531074645</v>
      </c>
      <c r="AB25" s="11">
        <v>7.451699347130436</v>
      </c>
      <c r="AC25" s="11">
        <v>6.7103316549733867</v>
      </c>
      <c r="AD25" s="11">
        <v>8.0545685044939876</v>
      </c>
      <c r="AE25" s="11">
        <v>7.304042783541532</v>
      </c>
      <c r="AF25" s="11">
        <v>7.3788676290629889</v>
      </c>
      <c r="AG25" s="11">
        <v>6.7364443264230287</v>
      </c>
      <c r="AH25" s="11">
        <v>6.8998986501248565</v>
      </c>
      <c r="AI25" s="11">
        <v>6.8620583038082543</v>
      </c>
      <c r="AJ25" s="11">
        <v>7.4505550173236141</v>
      </c>
      <c r="AK25" s="6"/>
      <c r="AL25" t="s">
        <v>1104</v>
      </c>
      <c r="AM25">
        <v>0</v>
      </c>
      <c r="AN25" s="6"/>
      <c r="AO25" s="20">
        <v>1.3128</v>
      </c>
      <c r="AP25" s="20">
        <v>0.80589999999999995</v>
      </c>
      <c r="AQ25" s="20">
        <v>0.1363</v>
      </c>
      <c r="AR25" s="20">
        <v>0.79769999999999996</v>
      </c>
      <c r="AS25" s="20">
        <v>0.1948</v>
      </c>
      <c r="AT25" s="20">
        <v>0.61329999999999996</v>
      </c>
      <c r="AU25" s="20">
        <v>0.65680000000000005</v>
      </c>
      <c r="AV25" s="20">
        <v>4.0000000000000002E-4</v>
      </c>
      <c r="AW25" s="6"/>
      <c r="AX25" s="18">
        <v>1.2620000000000001E-3</v>
      </c>
      <c r="AY25" s="18">
        <v>4.9619999999999997E-2</v>
      </c>
      <c r="AZ25" s="18">
        <v>0.73309999999999997</v>
      </c>
      <c r="BA25" s="18">
        <v>4.5530000000000001E-2</v>
      </c>
      <c r="BB25" s="18">
        <v>0.62819999999999998</v>
      </c>
      <c r="BC25" s="18">
        <v>0.12690000000000001</v>
      </c>
      <c r="BD25" s="18">
        <v>0.1009</v>
      </c>
      <c r="BE25" s="18">
        <v>0.99919999999999998</v>
      </c>
      <c r="BF25" s="13"/>
      <c r="BG25" t="s">
        <v>1146</v>
      </c>
      <c r="BH25" t="s">
        <v>1309</v>
      </c>
      <c r="BI25" t="s">
        <v>1254</v>
      </c>
      <c r="BJ25" t="s">
        <v>1114</v>
      </c>
      <c r="BK25" t="s">
        <v>1151</v>
      </c>
      <c r="BL25" t="s">
        <v>1116</v>
      </c>
      <c r="BM25" t="s">
        <v>1117</v>
      </c>
      <c r="BN25" s="13"/>
      <c r="BO25" t="s">
        <v>973</v>
      </c>
      <c r="BP25" t="s">
        <v>973</v>
      </c>
      <c r="BQ25" t="s">
        <v>973</v>
      </c>
      <c r="BR25" t="s">
        <v>973</v>
      </c>
    </row>
    <row r="26" spans="1:70" x14ac:dyDescent="0.25">
      <c r="A26" t="s">
        <v>212</v>
      </c>
      <c r="B26" t="s">
        <v>213</v>
      </c>
      <c r="C26" t="s">
        <v>214</v>
      </c>
      <c r="D26" s="6"/>
      <c r="E26" s="9" t="str">
        <f>HYPERLINK("http://plants.ensembl.org/Triticum_aestivum/Gene/Summary?g=TRIAE_CS42_2BL_TGACv1_130220_AA0406560","TRIAE_CS42_2BL_TGACv1_130220_AA0406560")</f>
        <v>TRIAE_CS42_2BL_TGACv1_130220_AA0406560</v>
      </c>
      <c r="F26" s="9" t="str">
        <f>HYPERLINK("http://mar2016-plants.ensembl.org/Triticum_aestivum/Gene/Summary?db=core;g=Traes_2BL_BF713EB9C","Traes_2BL_BF713EB9C")</f>
        <v>Traes_2BL_BF713EB9C</v>
      </c>
      <c r="H26" s="8" t="str">
        <f>HYPERLINK("http://plants.ensembl.org/Brachypodium_distachyon/Gene/Summary?g=Bradi5g10027","Bradi5g10027")</f>
        <v>Bradi5g10027</v>
      </c>
      <c r="I26" s="1" t="s">
        <v>1051</v>
      </c>
      <c r="J26" s="9" t="str">
        <f>HYPERLINK("http://plants.ensembl.org/Oryza_sativa/Gene/Summary?db=otherfeatures;g=LOC_Os01g72900","LOC_Os01g72900")</f>
        <v>LOC_Os01g72900</v>
      </c>
      <c r="L26" s="6"/>
      <c r="M26" s="1" t="s">
        <v>973</v>
      </c>
      <c r="N26" s="1" t="s">
        <v>973</v>
      </c>
      <c r="O26" s="1" t="s">
        <v>973</v>
      </c>
      <c r="P26" s="1" t="s">
        <v>973</v>
      </c>
      <c r="Q26" s="1" t="s">
        <v>973</v>
      </c>
      <c r="R26" s="1" t="s">
        <v>973</v>
      </c>
      <c r="S26" s="1">
        <v>1</v>
      </c>
      <c r="T26" s="6"/>
      <c r="U26" s="11">
        <v>7.4551156643246612</v>
      </c>
      <c r="V26" s="11">
        <v>5.022142883037338</v>
      </c>
      <c r="W26" s="11">
        <v>7.9966058650535636</v>
      </c>
      <c r="X26" s="11">
        <v>7.5169241640942159</v>
      </c>
      <c r="Y26" s="11">
        <v>5.935995551356589</v>
      </c>
      <c r="Z26" s="11">
        <v>5.694579367877326</v>
      </c>
      <c r="AA26" s="11">
        <v>8.9549658333425075</v>
      </c>
      <c r="AB26" s="11">
        <v>7.9429669870871287</v>
      </c>
      <c r="AC26" s="11">
        <v>8.6435298633428381</v>
      </c>
      <c r="AD26" s="11">
        <v>8.3793318650402284</v>
      </c>
      <c r="AE26" s="11">
        <v>8.9707595341273887</v>
      </c>
      <c r="AF26" s="11">
        <v>8.9175576634685783</v>
      </c>
      <c r="AG26" s="11">
        <v>7.6037969363701414</v>
      </c>
      <c r="AH26" s="11">
        <v>6.3594930584031042</v>
      </c>
      <c r="AI26" s="11">
        <v>8.6246423155674972</v>
      </c>
      <c r="AJ26" s="11">
        <v>8.9821780980164636</v>
      </c>
      <c r="AK26" s="6"/>
      <c r="AL26" t="s">
        <v>1076</v>
      </c>
      <c r="AM26">
        <v>0</v>
      </c>
      <c r="AN26" s="6"/>
      <c r="AO26" s="20">
        <v>-1.2103999999999999</v>
      </c>
      <c r="AP26" s="20">
        <v>-3.4394999999999998</v>
      </c>
      <c r="AQ26" s="20">
        <v>-0.96560000000000001</v>
      </c>
      <c r="AR26" s="20">
        <v>-1.3902000000000001</v>
      </c>
      <c r="AS26" s="20">
        <v>-1.6612</v>
      </c>
      <c r="AT26" s="20">
        <v>-0.66269999999999996</v>
      </c>
      <c r="AU26" s="20">
        <v>0.32750000000000001</v>
      </c>
      <c r="AV26" s="20">
        <v>-1.0303</v>
      </c>
      <c r="AW26" s="6"/>
      <c r="AX26" s="18">
        <v>1.3979999999999999E-2</v>
      </c>
      <c r="AY26" s="18">
        <v>1.6689999999999999E-9</v>
      </c>
      <c r="AZ26" s="18">
        <v>4.632E-2</v>
      </c>
      <c r="BA26" s="18">
        <v>4.2310000000000004E-3</v>
      </c>
      <c r="BB26" s="18">
        <v>7.6020000000000005E-4</v>
      </c>
      <c r="BC26" s="18">
        <v>0.18410000000000001</v>
      </c>
      <c r="BD26" s="18">
        <v>0.49840000000000001</v>
      </c>
      <c r="BE26" s="18">
        <v>3.372E-2</v>
      </c>
      <c r="BF26" s="13"/>
      <c r="BG26" t="s">
        <v>1379</v>
      </c>
      <c r="BH26" t="s">
        <v>1390</v>
      </c>
      <c r="BI26" t="s">
        <v>1254</v>
      </c>
      <c r="BJ26" t="s">
        <v>1148</v>
      </c>
      <c r="BK26" t="s">
        <v>1115</v>
      </c>
      <c r="BL26" t="s">
        <v>1256</v>
      </c>
      <c r="BM26" t="s">
        <v>1264</v>
      </c>
      <c r="BN26" s="13"/>
      <c r="BO26" t="s">
        <v>973</v>
      </c>
      <c r="BP26" t="s">
        <v>973</v>
      </c>
      <c r="BQ26" t="s">
        <v>973</v>
      </c>
      <c r="BR26" t="s">
        <v>973</v>
      </c>
    </row>
    <row r="27" spans="1:70" x14ac:dyDescent="0.25">
      <c r="A27" t="s">
        <v>264</v>
      </c>
      <c r="B27" t="s">
        <v>213</v>
      </c>
      <c r="C27" t="s">
        <v>214</v>
      </c>
      <c r="D27" s="6"/>
      <c r="H27" s="8" t="str">
        <f>HYPERLINK("http://plants.ensembl.org/Brachypodium_distachyon/Gene/Summary?g=Bradi5g10027","Bradi5g10027")</f>
        <v>Bradi5g10027</v>
      </c>
      <c r="I27" s="1" t="s">
        <v>1051</v>
      </c>
      <c r="J27" s="9" t="str">
        <f>HYPERLINK("http://plants.ensembl.org/Oryza_sativa/Gene/Summary?db=otherfeatures;g=LOC_Os01g72900","LOC_Os01g72900")</f>
        <v>LOC_Os01g72900</v>
      </c>
      <c r="L27" s="6"/>
      <c r="M27" s="1" t="s">
        <v>973</v>
      </c>
      <c r="N27" s="1" t="s">
        <v>973</v>
      </c>
      <c r="O27" s="1" t="s">
        <v>973</v>
      </c>
      <c r="P27" s="1" t="s">
        <v>973</v>
      </c>
      <c r="Q27" s="1" t="s">
        <v>973</v>
      </c>
      <c r="R27" s="1" t="s">
        <v>973</v>
      </c>
      <c r="S27" s="1">
        <v>1</v>
      </c>
      <c r="T27" s="6"/>
      <c r="U27" s="11">
        <v>8.3146977339430848</v>
      </c>
      <c r="V27" s="11">
        <v>7.9397758697257288</v>
      </c>
      <c r="W27" s="11">
        <v>7.9281948120847145</v>
      </c>
      <c r="X27" s="11">
        <v>6.9394224975841388</v>
      </c>
      <c r="Y27" s="11">
        <v>5.7377967077419116</v>
      </c>
      <c r="Z27" s="11">
        <v>5.692401159113782</v>
      </c>
      <c r="AA27" s="11">
        <v>9.3316590926521119</v>
      </c>
      <c r="AB27" s="11">
        <v>7.6056471745468199</v>
      </c>
      <c r="AC27" s="11">
        <v>9.0251695604239721</v>
      </c>
      <c r="AD27" s="11">
        <v>9.8644210536587629</v>
      </c>
      <c r="AE27" s="11">
        <v>9.0904085167727455</v>
      </c>
      <c r="AF27" s="11">
        <v>8.3588050215619418</v>
      </c>
      <c r="AG27" s="11">
        <v>7.6227785984324727</v>
      </c>
      <c r="AH27" s="11">
        <v>7.2413155353450041</v>
      </c>
      <c r="AI27" s="11">
        <v>9.0919305693269834</v>
      </c>
      <c r="AJ27" s="11">
        <v>8.8548526994491983</v>
      </c>
      <c r="AK27" s="6"/>
      <c r="AL27" t="s">
        <v>1093</v>
      </c>
      <c r="AM27">
        <v>0</v>
      </c>
      <c r="AN27" s="6"/>
      <c r="AO27" s="20">
        <v>-0.70369999999999999</v>
      </c>
      <c r="AP27" s="20">
        <v>-1.9016999999999999</v>
      </c>
      <c r="AQ27" s="20">
        <v>-1.1408</v>
      </c>
      <c r="AR27" s="20">
        <v>-1.3958999999999999</v>
      </c>
      <c r="AS27" s="20">
        <v>-1.8604000000000001</v>
      </c>
      <c r="AT27" s="20">
        <v>-1.5250999999999999</v>
      </c>
      <c r="AU27" s="20">
        <v>0.23499999999999999</v>
      </c>
      <c r="AV27" s="20">
        <v>-1.2270000000000001</v>
      </c>
      <c r="AW27" s="6"/>
      <c r="AX27" s="18">
        <v>0.28070000000000001</v>
      </c>
      <c r="AY27" s="18">
        <v>3.9370000000000004E-3</v>
      </c>
      <c r="AZ27" s="18">
        <v>7.9170000000000004E-2</v>
      </c>
      <c r="BA27" s="18">
        <v>3.2390000000000002E-2</v>
      </c>
      <c r="BB27" s="18">
        <v>4.6350000000000002E-3</v>
      </c>
      <c r="BC27" s="18">
        <v>2.0400000000000001E-2</v>
      </c>
      <c r="BD27" s="18">
        <v>0.71719999999999995</v>
      </c>
      <c r="BE27" s="18">
        <v>5.9380000000000002E-2</v>
      </c>
      <c r="BF27" s="13"/>
      <c r="BG27" t="s">
        <v>1315</v>
      </c>
      <c r="BH27" t="s">
        <v>1225</v>
      </c>
      <c r="BI27" t="s">
        <v>1254</v>
      </c>
      <c r="BJ27" t="s">
        <v>1217</v>
      </c>
      <c r="BK27" t="s">
        <v>1115</v>
      </c>
      <c r="BL27" t="s">
        <v>1331</v>
      </c>
      <c r="BM27" t="s">
        <v>1117</v>
      </c>
      <c r="BN27" s="13"/>
      <c r="BO27" t="s">
        <v>973</v>
      </c>
      <c r="BP27" t="s">
        <v>973</v>
      </c>
      <c r="BQ27" t="s">
        <v>973</v>
      </c>
      <c r="BR27" t="s">
        <v>973</v>
      </c>
    </row>
    <row r="28" spans="1:70" x14ac:dyDescent="0.25">
      <c r="A28" t="s">
        <v>360</v>
      </c>
      <c r="B28" t="s">
        <v>361</v>
      </c>
      <c r="C28" t="s">
        <v>214</v>
      </c>
      <c r="D28" s="6"/>
      <c r="E28" s="9" t="str">
        <f>HYPERLINK("http://plants.ensembl.org/Triticum_aestivum/Gene/Summary?g=TRIAE_CS42_3AL_TGACv1_194173_AA0627880","TRIAE_CS42_3AL_TGACv1_194173_AA0627880")</f>
        <v>TRIAE_CS42_3AL_TGACv1_194173_AA0627880</v>
      </c>
      <c r="F28" s="9" t="str">
        <f>HYPERLINK("http://mar2016-plants.ensembl.org/Triticum_aestivum/Gene/Summary?db=core;g=Traes_3AL_8BBD070DA","Traes_3AL_8BBD070DA")</f>
        <v>Traes_3AL_8BBD070DA</v>
      </c>
      <c r="H28" s="8" t="str">
        <f>HYPERLINK("http://plants.ensembl.org/Brachypodium_distachyon/Gene/Summary?g=Bradi2g61600","Bradi2g61600")</f>
        <v>Bradi2g61600</v>
      </c>
      <c r="I28" s="1" t="s">
        <v>1051</v>
      </c>
      <c r="J28" s="9" t="str">
        <f>HYPERLINK("http://plants.ensembl.org/Oryza_sativa/Gene/Summary?db=otherfeatures;g=LOC_Os01g72900","LOC_Os01g72900")</f>
        <v>LOC_Os01g72900</v>
      </c>
      <c r="L28" s="6"/>
      <c r="M28" s="1" t="s">
        <v>973</v>
      </c>
      <c r="N28" s="1" t="s">
        <v>973</v>
      </c>
      <c r="O28" s="1" t="s">
        <v>973</v>
      </c>
      <c r="P28" s="1" t="s">
        <v>973</v>
      </c>
      <c r="Q28" s="1" t="s">
        <v>973</v>
      </c>
      <c r="R28" s="1" t="s">
        <v>973</v>
      </c>
      <c r="S28" s="1">
        <v>1</v>
      </c>
      <c r="T28" s="6"/>
      <c r="U28" s="11">
        <v>5.9955636614189647</v>
      </c>
      <c r="V28" s="11">
        <v>8.5857470032821315</v>
      </c>
      <c r="W28" s="11">
        <v>4.7699092329579278</v>
      </c>
      <c r="X28" s="11">
        <v>5.0170132583666058</v>
      </c>
      <c r="Y28" s="11">
        <v>6.4416577637201176</v>
      </c>
      <c r="Z28" s="11">
        <v>5.6195558252512265</v>
      </c>
      <c r="AA28" s="11">
        <v>3.4045126118033044</v>
      </c>
      <c r="AB28" s="11">
        <v>4.8959714579243139</v>
      </c>
      <c r="AC28" s="11">
        <v>1.4790580622474543</v>
      </c>
      <c r="AD28" s="11">
        <v>1.9182971764481784</v>
      </c>
      <c r="AE28" s="11">
        <v>0.93947735037630908</v>
      </c>
      <c r="AF28" s="11">
        <v>0.666726298757507</v>
      </c>
      <c r="AG28" s="11">
        <v>0</v>
      </c>
      <c r="AH28" s="11">
        <v>0.71852602646226216</v>
      </c>
      <c r="AI28" s="11">
        <v>2.3341010307208343</v>
      </c>
      <c r="AJ28" s="11">
        <v>1.8404296629137211</v>
      </c>
      <c r="AK28" s="6"/>
      <c r="AL28" t="s">
        <v>1077</v>
      </c>
      <c r="AM28">
        <v>213</v>
      </c>
      <c r="AN28" s="6"/>
      <c r="AO28" s="20">
        <v>5.2824</v>
      </c>
      <c r="AP28" s="20">
        <v>8.7386999999999997</v>
      </c>
      <c r="AQ28" s="20">
        <v>4.7991999999999999</v>
      </c>
      <c r="AR28" s="20">
        <v>5.0739000000000001</v>
      </c>
      <c r="AS28" s="20">
        <v>8.9776000000000007</v>
      </c>
      <c r="AT28" s="20">
        <v>5.9732000000000003</v>
      </c>
      <c r="AU28" s="20">
        <v>1.1826000000000001</v>
      </c>
      <c r="AV28" s="20">
        <v>3.4245999999999999</v>
      </c>
      <c r="AW28" s="6"/>
      <c r="AX28" s="18">
        <v>5.9450000000000002E-14</v>
      </c>
      <c r="AY28" s="18">
        <v>1.9560000000000001E-20</v>
      </c>
      <c r="AZ28" s="18">
        <v>3.9549999999999997E-9</v>
      </c>
      <c r="BA28" s="18">
        <v>8.5660000000000002E-10</v>
      </c>
      <c r="BB28" s="18">
        <v>2.2080000000000001E-16</v>
      </c>
      <c r="BC28" s="18">
        <v>6.2610000000000004E-11</v>
      </c>
      <c r="BD28" s="18">
        <v>2.8559999999999999E-2</v>
      </c>
      <c r="BE28" s="18">
        <v>3.4550000000000002E-9</v>
      </c>
      <c r="BF28" s="13"/>
      <c r="BG28" t="s">
        <v>1125</v>
      </c>
      <c r="BH28" t="s">
        <v>1126</v>
      </c>
      <c r="BI28" t="s">
        <v>1113</v>
      </c>
      <c r="BJ28" t="s">
        <v>1127</v>
      </c>
      <c r="BK28" t="s">
        <v>1115</v>
      </c>
      <c r="BL28" t="s">
        <v>1116</v>
      </c>
      <c r="BM28" t="s">
        <v>1117</v>
      </c>
      <c r="BN28" s="13"/>
      <c r="BO28" t="s">
        <v>973</v>
      </c>
      <c r="BP28">
        <v>1</v>
      </c>
      <c r="BQ28" t="s">
        <v>973</v>
      </c>
      <c r="BR28" t="s">
        <v>973</v>
      </c>
    </row>
    <row r="29" spans="1:70" x14ac:dyDescent="0.25">
      <c r="A29" t="s">
        <v>400</v>
      </c>
      <c r="B29" t="s">
        <v>401</v>
      </c>
      <c r="C29" t="s">
        <v>214</v>
      </c>
      <c r="D29" s="6"/>
      <c r="E29" s="9" t="str">
        <f>HYPERLINK("http://plants.ensembl.org/Triticum_aestivum/Gene/Summary?g=TRIAE_CS42_3B_TGACv1_221242_AA0734760","TRIAE_CS42_3B_TGACv1_221242_AA0734760")</f>
        <v>TRIAE_CS42_3B_TGACv1_221242_AA0734760</v>
      </c>
      <c r="F29" s="9" t="str">
        <f>HYPERLINK("http://mar2016-plants.ensembl.org/Triticum_aestivum/Gene/Summary?db=core;g=TRAES3BF072300230CFD","TRAES3BF072300230CFD")</f>
        <v>TRAES3BF072300230CFD</v>
      </c>
      <c r="H29" s="8" t="str">
        <f>HYPERLINK("http://plants.ensembl.org/Brachypodium_distachyon/Gene/Summary?g=Bradi2g61600","Bradi2g61600")</f>
        <v>Bradi2g61600</v>
      </c>
      <c r="I29" s="1" t="s">
        <v>1051</v>
      </c>
      <c r="J29" s="9" t="str">
        <f>HYPERLINK("http://plants.ensembl.org/Oryza_sativa/Gene/Summary?db=otherfeatures;g=LOC_Os01g72900","LOC_Os01g72900")</f>
        <v>LOC_Os01g72900</v>
      </c>
      <c r="L29" s="6"/>
      <c r="M29" s="1" t="s">
        <v>973</v>
      </c>
      <c r="N29" s="1" t="s">
        <v>973</v>
      </c>
      <c r="O29" s="1" t="s">
        <v>973</v>
      </c>
      <c r="P29" s="1" t="s">
        <v>973</v>
      </c>
      <c r="Q29" s="1" t="s">
        <v>973</v>
      </c>
      <c r="R29" s="1" t="s">
        <v>973</v>
      </c>
      <c r="S29" s="1">
        <v>1</v>
      </c>
      <c r="T29" s="6"/>
      <c r="U29" s="11">
        <v>3.8470147381819082</v>
      </c>
      <c r="V29" s="11">
        <v>7.0703259939064438</v>
      </c>
      <c r="W29" s="11">
        <v>2.6816216737497873</v>
      </c>
      <c r="X29" s="11">
        <v>3.5531679673000656</v>
      </c>
      <c r="Y29" s="11">
        <v>3.4841897011482672</v>
      </c>
      <c r="Z29" s="11">
        <v>3.3999776835376707</v>
      </c>
      <c r="AA29" s="11">
        <v>3.282637488624248</v>
      </c>
      <c r="AB29" s="11">
        <v>3.6610122568737848</v>
      </c>
      <c r="AC29" s="11">
        <v>1.493766870515387</v>
      </c>
      <c r="AD29" s="11">
        <v>0</v>
      </c>
      <c r="AE29" s="11">
        <v>1.672108480031304</v>
      </c>
      <c r="AF29" s="11">
        <v>1.8340099881108345</v>
      </c>
      <c r="AG29" s="11">
        <v>1.8372435837585515</v>
      </c>
      <c r="AH29" s="11">
        <v>0.41243830823088656</v>
      </c>
      <c r="AI29" s="11">
        <v>2.5774570270349528</v>
      </c>
      <c r="AJ29" s="11">
        <v>2.0215034167897006</v>
      </c>
      <c r="AK29" s="6"/>
      <c r="AL29" t="s">
        <v>1077</v>
      </c>
      <c r="AM29">
        <v>0</v>
      </c>
      <c r="AN29" s="6"/>
      <c r="AO29" s="20">
        <v>2.9053</v>
      </c>
      <c r="AP29" s="20">
        <v>8.0563000000000002</v>
      </c>
      <c r="AQ29" s="20">
        <v>1.2921</v>
      </c>
      <c r="AR29" s="20">
        <v>1.8815</v>
      </c>
      <c r="AS29" s="20">
        <v>1.8925000000000001</v>
      </c>
      <c r="AT29" s="20">
        <v>4.3295000000000003</v>
      </c>
      <c r="AU29" s="20">
        <v>0.72529999999999994</v>
      </c>
      <c r="AV29" s="20">
        <v>1.8828</v>
      </c>
      <c r="AW29" s="6"/>
      <c r="AX29" s="18">
        <v>1.4229999999999999E-4</v>
      </c>
      <c r="AY29" s="18">
        <v>4.0829999999999999E-13</v>
      </c>
      <c r="AZ29" s="18">
        <v>6.9809999999999997E-2</v>
      </c>
      <c r="BA29" s="18">
        <v>3.9699999999999996E-3</v>
      </c>
      <c r="BB29" s="18">
        <v>1.946E-3</v>
      </c>
      <c r="BC29" s="18">
        <v>1.03E-4</v>
      </c>
      <c r="BD29" s="18">
        <v>0.2112</v>
      </c>
      <c r="BE29" s="18">
        <v>2.9459999999999998E-3</v>
      </c>
      <c r="BF29" s="13"/>
      <c r="BG29" t="s">
        <v>1125</v>
      </c>
      <c r="BH29" t="s">
        <v>1126</v>
      </c>
      <c r="BI29" t="s">
        <v>1113</v>
      </c>
      <c r="BJ29" t="s">
        <v>1127</v>
      </c>
      <c r="BK29" t="s">
        <v>1115</v>
      </c>
      <c r="BL29" t="s">
        <v>1116</v>
      </c>
      <c r="BM29" t="s">
        <v>1117</v>
      </c>
      <c r="BN29" s="13"/>
      <c r="BO29" t="s">
        <v>973</v>
      </c>
      <c r="BP29">
        <v>1</v>
      </c>
      <c r="BQ29" t="s">
        <v>973</v>
      </c>
      <c r="BR29" t="s">
        <v>973</v>
      </c>
    </row>
    <row r="30" spans="1:70" x14ac:dyDescent="0.25">
      <c r="A30" t="s">
        <v>440</v>
      </c>
      <c r="B30" t="s">
        <v>441</v>
      </c>
      <c r="C30" t="s">
        <v>214</v>
      </c>
      <c r="D30" s="6"/>
      <c r="E30" s="9" t="str">
        <f>HYPERLINK("http://plants.ensembl.org/Triticum_aestivum/Gene/Summary?g=TRIAE_CS42_3DL_TGACv1_249203_AA0841160","TRIAE_CS42_3DL_TGACv1_249203_AA0841160")</f>
        <v>TRIAE_CS42_3DL_TGACv1_249203_AA0841160</v>
      </c>
      <c r="F30" s="9"/>
      <c r="H30" s="8" t="str">
        <f>HYPERLINK("http://plants.ensembl.org/Brachypodium_distachyon/Gene/Summary?g=Bradi2g61600","Bradi2g61600")</f>
        <v>Bradi2g61600</v>
      </c>
      <c r="I30" s="1" t="s">
        <v>1051</v>
      </c>
      <c r="J30" s="9" t="str">
        <f>HYPERLINK("http://plants.ensembl.org/Oryza_sativa/Gene/Summary?db=otherfeatures;g=LOC_Os01g72900","LOC_Os01g72900")</f>
        <v>LOC_Os01g72900</v>
      </c>
      <c r="L30" s="6"/>
      <c r="M30" s="1" t="s">
        <v>973</v>
      </c>
      <c r="N30" s="1" t="s">
        <v>973</v>
      </c>
      <c r="O30" s="1" t="s">
        <v>973</v>
      </c>
      <c r="P30" s="1" t="s">
        <v>973</v>
      </c>
      <c r="Q30" s="1" t="s">
        <v>973</v>
      </c>
      <c r="R30" s="1" t="s">
        <v>973</v>
      </c>
      <c r="S30" s="1">
        <v>1</v>
      </c>
      <c r="T30" s="6"/>
      <c r="U30" s="11">
        <v>5.8165945869550653</v>
      </c>
      <c r="V30" s="11">
        <v>8.9516956059454103</v>
      </c>
      <c r="W30" s="11">
        <v>4.4376472208854647</v>
      </c>
      <c r="X30" s="11">
        <v>5.2711118826918497</v>
      </c>
      <c r="Y30" s="11">
        <v>5.5884558016182178</v>
      </c>
      <c r="Z30" s="11">
        <v>4.9773425152602924</v>
      </c>
      <c r="AA30" s="11">
        <v>4.0055137699130361</v>
      </c>
      <c r="AB30" s="11">
        <v>4.723290966418034</v>
      </c>
      <c r="AC30" s="11">
        <v>1.8678174100437113</v>
      </c>
      <c r="AD30" s="11">
        <v>0.97063281676969426</v>
      </c>
      <c r="AE30" s="11">
        <v>1.4638839804710067</v>
      </c>
      <c r="AF30" s="11">
        <v>1.7419055709312097</v>
      </c>
      <c r="AG30" s="11">
        <v>0.16602981449478316</v>
      </c>
      <c r="AH30" s="11">
        <v>0</v>
      </c>
      <c r="AI30" s="11">
        <v>3.4023310756364884</v>
      </c>
      <c r="AJ30" s="11">
        <v>1.6237108189083149</v>
      </c>
      <c r="AK30" s="6"/>
      <c r="AL30" t="s">
        <v>1077</v>
      </c>
      <c r="AM30">
        <v>91</v>
      </c>
      <c r="AN30" s="6"/>
      <c r="AO30" s="20">
        <v>4.4238999999999997</v>
      </c>
      <c r="AP30" s="20">
        <v>8.1943000000000001</v>
      </c>
      <c r="AQ30" s="20">
        <v>3.5556999999999999</v>
      </c>
      <c r="AR30" s="20">
        <v>3.8875000000000002</v>
      </c>
      <c r="AS30" s="20">
        <v>7.2922000000000002</v>
      </c>
      <c r="AT30" s="20">
        <v>6.7907000000000002</v>
      </c>
      <c r="AU30" s="20">
        <v>0.61450000000000005</v>
      </c>
      <c r="AV30" s="20">
        <v>3.5386000000000002</v>
      </c>
      <c r="AW30" s="6"/>
      <c r="AX30" s="18">
        <v>1.5E-11</v>
      </c>
      <c r="AY30" s="18">
        <v>1.0039999999999999E-23</v>
      </c>
      <c r="AZ30" s="18">
        <v>3.727E-7</v>
      </c>
      <c r="BA30" s="18">
        <v>1.0290000000000001E-9</v>
      </c>
      <c r="BB30" s="18">
        <v>3.621E-12</v>
      </c>
      <c r="BC30" s="18">
        <v>1.165E-9</v>
      </c>
      <c r="BD30" s="18">
        <v>0.22539999999999999</v>
      </c>
      <c r="BE30" s="18">
        <v>6.3339999999999997E-8</v>
      </c>
      <c r="BF30" s="13"/>
      <c r="BG30" t="s">
        <v>1125</v>
      </c>
      <c r="BH30" t="s">
        <v>1126</v>
      </c>
      <c r="BI30" t="s">
        <v>1113</v>
      </c>
      <c r="BJ30" t="s">
        <v>1127</v>
      </c>
      <c r="BK30" t="s">
        <v>1115</v>
      </c>
      <c r="BL30" t="s">
        <v>1116</v>
      </c>
      <c r="BM30" t="s">
        <v>1117</v>
      </c>
      <c r="BN30" s="13"/>
      <c r="BO30" t="s">
        <v>973</v>
      </c>
      <c r="BP30">
        <v>1</v>
      </c>
      <c r="BQ30" t="s">
        <v>973</v>
      </c>
      <c r="BR30" t="s">
        <v>973</v>
      </c>
    </row>
    <row r="31" spans="1:70" x14ac:dyDescent="0.25">
      <c r="A31" t="s">
        <v>442</v>
      </c>
      <c r="B31" t="s">
        <v>441</v>
      </c>
      <c r="C31" t="s">
        <v>214</v>
      </c>
      <c r="D31" s="6"/>
      <c r="E31" s="9" t="str">
        <f>HYPERLINK("http://plants.ensembl.org/Triticum_aestivum/Gene/Summary?g=TRIAE_CS42_3DL_TGACv1_249203_AA0841170","TRIAE_CS42_3DL_TGACv1_249203_AA0841170")</f>
        <v>TRIAE_CS42_3DL_TGACv1_249203_AA0841170</v>
      </c>
      <c r="H31" s="1" t="s">
        <v>1051</v>
      </c>
      <c r="I31" s="1" t="s">
        <v>1051</v>
      </c>
      <c r="J31" s="1" t="s">
        <v>1051</v>
      </c>
      <c r="L31" s="6"/>
      <c r="M31" s="1" t="s">
        <v>973</v>
      </c>
      <c r="N31" s="1" t="s">
        <v>973</v>
      </c>
      <c r="O31" s="1" t="s">
        <v>973</v>
      </c>
      <c r="P31" s="1" t="s">
        <v>973</v>
      </c>
      <c r="Q31" s="1" t="s">
        <v>973</v>
      </c>
      <c r="R31" s="1" t="s">
        <v>973</v>
      </c>
      <c r="S31" s="1">
        <v>1</v>
      </c>
      <c r="T31" s="6"/>
      <c r="U31" s="11">
        <v>5.2755335549762314</v>
      </c>
      <c r="V31" s="11">
        <v>8.533183962770801</v>
      </c>
      <c r="W31" s="11">
        <v>4.1749549687463556</v>
      </c>
      <c r="X31" s="11">
        <v>4.8442868853414138</v>
      </c>
      <c r="Y31" s="11">
        <v>5.6717773981293647</v>
      </c>
      <c r="Z31" s="11">
        <v>5.0825251932337014</v>
      </c>
      <c r="AA31" s="11">
        <v>3.1322752215293037</v>
      </c>
      <c r="AB31" s="11">
        <v>4.9356058957824533</v>
      </c>
      <c r="AC31" s="11">
        <v>1.0399805976908814</v>
      </c>
      <c r="AD31" s="11">
        <v>0</v>
      </c>
      <c r="AE31" s="11">
        <v>0.81838703565222393</v>
      </c>
      <c r="AF31" s="11">
        <v>0.666726298757507</v>
      </c>
      <c r="AG31" s="11">
        <v>1.1191348029344554</v>
      </c>
      <c r="AH31" s="11">
        <v>0.32960202277278333</v>
      </c>
      <c r="AI31" s="11">
        <v>2.3193385391177275</v>
      </c>
      <c r="AJ31" s="11">
        <v>1.8542882803902523</v>
      </c>
      <c r="AK31" s="6"/>
      <c r="AL31" t="s">
        <v>1077</v>
      </c>
      <c r="AM31">
        <v>139</v>
      </c>
      <c r="AN31" s="6"/>
      <c r="AO31" s="20">
        <v>5.2123999999999997</v>
      </c>
      <c r="AP31" s="20">
        <v>9.4368999999999996</v>
      </c>
      <c r="AQ31" s="20">
        <v>4.2129000000000003</v>
      </c>
      <c r="AR31" s="20">
        <v>4.9066999999999998</v>
      </c>
      <c r="AS31" s="20">
        <v>5.2840999999999996</v>
      </c>
      <c r="AT31" s="20">
        <v>6.1280999999999999</v>
      </c>
      <c r="AU31" s="20">
        <v>0.89390000000000003</v>
      </c>
      <c r="AV31" s="20">
        <v>3.4698000000000002</v>
      </c>
      <c r="AW31" s="6"/>
      <c r="AX31" s="18">
        <v>1.939E-10</v>
      </c>
      <c r="AY31" s="18">
        <v>9.7000000000000004E-19</v>
      </c>
      <c r="AZ31" s="18">
        <v>2.3970000000000001E-7</v>
      </c>
      <c r="BA31" s="18">
        <v>1.9099999999999998E-9</v>
      </c>
      <c r="BB31" s="18">
        <v>9.253E-18</v>
      </c>
      <c r="BC31" s="18">
        <v>8.4010000000000003E-9</v>
      </c>
      <c r="BD31" s="18">
        <v>9.1050000000000006E-2</v>
      </c>
      <c r="BE31" s="18">
        <v>5.7210000000000002E-10</v>
      </c>
      <c r="BF31" s="13"/>
      <c r="BG31" t="s">
        <v>1125</v>
      </c>
      <c r="BH31" t="s">
        <v>1126</v>
      </c>
      <c r="BI31" t="s">
        <v>1113</v>
      </c>
      <c r="BJ31" t="s">
        <v>1127</v>
      </c>
      <c r="BK31" t="s">
        <v>1115</v>
      </c>
      <c r="BL31" t="s">
        <v>1116</v>
      </c>
      <c r="BM31" t="s">
        <v>1117</v>
      </c>
      <c r="BN31" s="13"/>
      <c r="BO31" t="s">
        <v>973</v>
      </c>
      <c r="BP31">
        <v>1</v>
      </c>
      <c r="BQ31" t="s">
        <v>973</v>
      </c>
      <c r="BR31" t="s">
        <v>973</v>
      </c>
    </row>
    <row r="32" spans="1:70" x14ac:dyDescent="0.25">
      <c r="A32" t="s">
        <v>443</v>
      </c>
      <c r="B32" t="s">
        <v>444</v>
      </c>
      <c r="C32" t="s">
        <v>214</v>
      </c>
      <c r="D32" s="6"/>
      <c r="E32" s="9" t="str">
        <f>HYPERLINK("http://plants.ensembl.org/Triticum_aestivum/Gene/Summary?g=TRIAE_CS42_3DL_TGACv1_249203_AA0841160","TRIAE_CS42_3DL_TGACv1_249203_AA0841160")</f>
        <v>TRIAE_CS42_3DL_TGACv1_249203_AA0841160</v>
      </c>
      <c r="F32" s="9"/>
      <c r="H32" s="1" t="s">
        <v>1051</v>
      </c>
      <c r="I32" s="1" t="s">
        <v>1051</v>
      </c>
      <c r="J32" s="1" t="s">
        <v>1051</v>
      </c>
      <c r="L32" s="6"/>
      <c r="M32" s="1" t="s">
        <v>973</v>
      </c>
      <c r="N32" s="1" t="s">
        <v>973</v>
      </c>
      <c r="O32" s="1" t="s">
        <v>973</v>
      </c>
      <c r="P32" s="1" t="s">
        <v>973</v>
      </c>
      <c r="Q32" s="1" t="s">
        <v>973</v>
      </c>
      <c r="R32" s="1" t="s">
        <v>973</v>
      </c>
      <c r="S32" s="1">
        <v>1</v>
      </c>
      <c r="T32" s="6"/>
      <c r="U32" s="11">
        <v>6.8082893655314427</v>
      </c>
      <c r="V32" s="11">
        <v>10.149759607567919</v>
      </c>
      <c r="W32" s="11">
        <v>5.6698280401988699</v>
      </c>
      <c r="X32" s="11">
        <v>6.5934468996965379</v>
      </c>
      <c r="Y32" s="11">
        <v>7.2412176392087968</v>
      </c>
      <c r="Z32" s="11">
        <v>6.6345923004535896</v>
      </c>
      <c r="AA32" s="11">
        <v>5.3429967496346924</v>
      </c>
      <c r="AB32" s="11">
        <v>6.1938394092001641</v>
      </c>
      <c r="AC32" s="11">
        <v>2.234511539360422</v>
      </c>
      <c r="AD32" s="11">
        <v>2.1457969955947815</v>
      </c>
      <c r="AE32" s="11">
        <v>2.9184498439364881</v>
      </c>
      <c r="AF32" s="11">
        <v>1.4041401662639246</v>
      </c>
      <c r="AG32" s="11">
        <v>1.1085802120308625</v>
      </c>
      <c r="AH32" s="11">
        <v>0.6668474674503837</v>
      </c>
      <c r="AI32" s="11">
        <v>3.5032172666664452</v>
      </c>
      <c r="AJ32" s="11">
        <v>2.4930409604212791</v>
      </c>
      <c r="AK32" s="6"/>
      <c r="AL32" t="s">
        <v>1077</v>
      </c>
      <c r="AM32">
        <v>397</v>
      </c>
      <c r="AN32" s="6"/>
      <c r="AO32" s="20">
        <v>5.0077999999999996</v>
      </c>
      <c r="AP32" s="20">
        <v>9.3015000000000008</v>
      </c>
      <c r="AQ32" s="20">
        <v>2.9133</v>
      </c>
      <c r="AR32" s="20">
        <v>5.4096000000000002</v>
      </c>
      <c r="AS32" s="20">
        <v>6.9829999999999997</v>
      </c>
      <c r="AT32" s="20">
        <v>6.9192</v>
      </c>
      <c r="AU32" s="20">
        <v>1.9137</v>
      </c>
      <c r="AV32" s="20">
        <v>3.9121999999999999</v>
      </c>
      <c r="AW32" s="6"/>
      <c r="AX32" s="18">
        <v>6.9189999999999995E-19</v>
      </c>
      <c r="AY32" s="18">
        <v>3.0519999999999999E-33</v>
      </c>
      <c r="AZ32" s="18">
        <v>9.9650000000000002E-10</v>
      </c>
      <c r="BA32" s="18">
        <v>2.6929999999999998E-18</v>
      </c>
      <c r="BB32" s="18">
        <v>9.0939999999999993E-27</v>
      </c>
      <c r="BC32" s="18">
        <v>9.9239999999999995E-15</v>
      </c>
      <c r="BD32" s="18">
        <v>1.6039999999999999E-5</v>
      </c>
      <c r="BE32" s="18">
        <v>6.8529999999999999E-15</v>
      </c>
      <c r="BF32" s="13"/>
      <c r="BG32" t="s">
        <v>1143</v>
      </c>
      <c r="BH32" t="s">
        <v>1144</v>
      </c>
      <c r="BI32" t="s">
        <v>1113</v>
      </c>
      <c r="BJ32" t="s">
        <v>1127</v>
      </c>
      <c r="BK32" t="s">
        <v>1115</v>
      </c>
      <c r="BL32" t="s">
        <v>1173</v>
      </c>
      <c r="BM32" t="s">
        <v>1117</v>
      </c>
      <c r="BN32" s="13"/>
      <c r="BO32" t="s">
        <v>973</v>
      </c>
      <c r="BP32" t="s">
        <v>973</v>
      </c>
      <c r="BQ32" t="s">
        <v>973</v>
      </c>
      <c r="BR32" t="s">
        <v>973</v>
      </c>
    </row>
    <row r="33" spans="1:70" x14ac:dyDescent="0.25">
      <c r="A33" t="s">
        <v>445</v>
      </c>
      <c r="B33" t="s">
        <v>401</v>
      </c>
      <c r="C33" t="s">
        <v>214</v>
      </c>
      <c r="D33" s="6"/>
      <c r="E33" s="9" t="str">
        <f>HYPERLINK("http://plants.ensembl.org/Triticum_aestivum/Gene/Summary?g=TRIAE_CS42_3DL_TGACv1_249203_AA0841120","TRIAE_CS42_3DL_TGACv1_249203_AA0841120")</f>
        <v>TRIAE_CS42_3DL_TGACv1_249203_AA0841120</v>
      </c>
      <c r="F33" s="9" t="str">
        <f>HYPERLINK("http://mar2016-plants.ensembl.org/Triticum_aestivum/Gene/Summary?db=core;g=Traes_3DL_88873E8F7","Traes_3DL_88873E8F7")</f>
        <v>Traes_3DL_88873E8F7</v>
      </c>
      <c r="H33" s="1" t="s">
        <v>1051</v>
      </c>
      <c r="I33" s="1" t="s">
        <v>1051</v>
      </c>
      <c r="J33" s="1" t="s">
        <v>1051</v>
      </c>
      <c r="L33" s="6"/>
      <c r="M33" s="1" t="s">
        <v>973</v>
      </c>
      <c r="N33" s="1" t="s">
        <v>973</v>
      </c>
      <c r="O33" s="1" t="s">
        <v>973</v>
      </c>
      <c r="P33" s="1" t="s">
        <v>973</v>
      </c>
      <c r="Q33" s="1" t="s">
        <v>973</v>
      </c>
      <c r="R33" s="1" t="s">
        <v>973</v>
      </c>
      <c r="S33" s="1">
        <v>1</v>
      </c>
      <c r="T33" s="6"/>
      <c r="U33" s="11">
        <v>7.9049388324277867</v>
      </c>
      <c r="V33" s="11">
        <v>10.790733055555503</v>
      </c>
      <c r="W33" s="11">
        <v>6.1087056534716737</v>
      </c>
      <c r="X33" s="11">
        <v>7.4011520144455663</v>
      </c>
      <c r="Y33" s="11">
        <v>7.8913606531358083</v>
      </c>
      <c r="Z33" s="11">
        <v>7.0633314395054381</v>
      </c>
      <c r="AA33" s="11">
        <v>7.0905496620612745</v>
      </c>
      <c r="AB33" s="11">
        <v>7.0197734396277029</v>
      </c>
      <c r="AC33" s="11">
        <v>3.6707421591976881</v>
      </c>
      <c r="AD33" s="11">
        <v>2.4243040417678201</v>
      </c>
      <c r="AE33" s="11">
        <v>3.2373648598768243</v>
      </c>
      <c r="AF33" s="11">
        <v>3.9078488679893288</v>
      </c>
      <c r="AG33" s="11">
        <v>1.8882399425919985</v>
      </c>
      <c r="AH33" s="11">
        <v>0.92764365978373919</v>
      </c>
      <c r="AI33" s="11">
        <v>5.4812526508942012</v>
      </c>
      <c r="AJ33" s="11">
        <v>4.1508087690788287</v>
      </c>
      <c r="AK33" s="6"/>
      <c r="AL33" t="s">
        <v>1077</v>
      </c>
      <c r="AM33">
        <v>140</v>
      </c>
      <c r="AN33" s="6"/>
      <c r="AO33" s="20">
        <v>4.3956</v>
      </c>
      <c r="AP33" s="20">
        <v>9.0202000000000009</v>
      </c>
      <c r="AQ33" s="20">
        <v>2.9683999999999999</v>
      </c>
      <c r="AR33" s="20">
        <v>3.4815</v>
      </c>
      <c r="AS33" s="20">
        <v>6.2375999999999996</v>
      </c>
      <c r="AT33" s="20">
        <v>6.8064999999999998</v>
      </c>
      <c r="AU33" s="20">
        <v>1.6067</v>
      </c>
      <c r="AV33" s="20">
        <v>2.8997000000000002</v>
      </c>
      <c r="AW33" s="6"/>
      <c r="AX33" s="18">
        <v>5.2459999999999997E-15</v>
      </c>
      <c r="AY33" s="18">
        <v>3.3390000000000001E-34</v>
      </c>
      <c r="AZ33" s="18">
        <v>1.748E-7</v>
      </c>
      <c r="BA33" s="18">
        <v>1.746E-10</v>
      </c>
      <c r="BB33" s="18">
        <v>1.152E-24</v>
      </c>
      <c r="BC33" s="18">
        <v>1.082E-15</v>
      </c>
      <c r="BD33" s="18">
        <v>1.9710000000000001E-3</v>
      </c>
      <c r="BE33" s="18">
        <v>7.0239999999999999E-8</v>
      </c>
      <c r="BF33" s="13"/>
      <c r="BG33" t="s">
        <v>1322</v>
      </c>
      <c r="BH33" t="s">
        <v>1211</v>
      </c>
      <c r="BI33" t="s">
        <v>1113</v>
      </c>
      <c r="BJ33" t="s">
        <v>1127</v>
      </c>
      <c r="BK33" t="s">
        <v>1115</v>
      </c>
      <c r="BL33" t="s">
        <v>1204</v>
      </c>
      <c r="BM33" t="s">
        <v>1117</v>
      </c>
      <c r="BN33" s="13"/>
      <c r="BO33" t="s">
        <v>973</v>
      </c>
      <c r="BP33" t="s">
        <v>973</v>
      </c>
      <c r="BQ33" t="s">
        <v>973</v>
      </c>
      <c r="BR33" t="s">
        <v>973</v>
      </c>
    </row>
    <row r="34" spans="1:70" x14ac:dyDescent="0.25">
      <c r="A34" t="s">
        <v>362</v>
      </c>
      <c r="B34" t="s">
        <v>363</v>
      </c>
      <c r="C34" t="s">
        <v>364</v>
      </c>
      <c r="D34" s="6"/>
      <c r="E34" s="9" t="str">
        <f>HYPERLINK("http://plants.ensembl.org/Triticum_aestivum/Gene/Summary?g=TRIAE_CS42_3AL_TGACv1_194141_AA0627340","TRIAE_CS42_3AL_TGACv1_194141_AA0627340")</f>
        <v>TRIAE_CS42_3AL_TGACv1_194141_AA0627340</v>
      </c>
      <c r="H34" s="8" t="str">
        <f>HYPERLINK("http://plants.ensembl.org/Brachypodium_distachyon/Gene/Summary?g=Bradi2g61590","Bradi2g61590")</f>
        <v>Bradi2g61590</v>
      </c>
      <c r="I34" s="1" t="s">
        <v>1051</v>
      </c>
      <c r="J34" s="9" t="str">
        <f>HYPERLINK("http://plants.ensembl.org/Oryza_sativa/Gene/Summary?db=otherfeatures;g=LOC_Os01g73250","LOC_Os01g73250")</f>
        <v>LOC_Os01g73250</v>
      </c>
      <c r="L34" s="6"/>
      <c r="M34" s="1" t="s">
        <v>973</v>
      </c>
      <c r="N34" s="1" t="s">
        <v>973</v>
      </c>
      <c r="O34" s="1" t="s">
        <v>973</v>
      </c>
      <c r="P34" s="1" t="s">
        <v>973</v>
      </c>
      <c r="Q34" s="1" t="s">
        <v>973</v>
      </c>
      <c r="R34" s="1" t="s">
        <v>973</v>
      </c>
      <c r="S34" s="1">
        <v>1</v>
      </c>
      <c r="T34" s="6"/>
      <c r="U34" s="11">
        <v>3.5539256734700508</v>
      </c>
      <c r="V34" s="11">
        <v>1.7741088115671881</v>
      </c>
      <c r="W34" s="11">
        <v>8.4372928054515022</v>
      </c>
      <c r="X34" s="11">
        <v>6.6126616286119058</v>
      </c>
      <c r="Y34" s="11">
        <v>9.9029731737811755</v>
      </c>
      <c r="Z34" s="11">
        <v>8.3424206658403453</v>
      </c>
      <c r="AA34" s="11">
        <v>8.7679855544741869</v>
      </c>
      <c r="AB34" s="11">
        <v>6.7678525108816494</v>
      </c>
      <c r="AC34" s="11">
        <v>5.104740613785852</v>
      </c>
      <c r="AD34" s="11">
        <v>3.7579335360184638</v>
      </c>
      <c r="AE34" s="11">
        <v>8.8676948060935672</v>
      </c>
      <c r="AF34" s="11">
        <v>7.822023071123553</v>
      </c>
      <c r="AG34" s="11">
        <v>10.37002271321326</v>
      </c>
      <c r="AH34" s="11">
        <v>8.6793746498922815</v>
      </c>
      <c r="AI34" s="11">
        <v>7.8607658577020354</v>
      </c>
      <c r="AJ34" s="11">
        <v>6.620011074858847</v>
      </c>
      <c r="AK34" s="6"/>
      <c r="AL34" t="s">
        <v>1085</v>
      </c>
      <c r="AM34">
        <v>0</v>
      </c>
      <c r="AN34" s="6"/>
      <c r="AO34" s="20">
        <v>-1.6258999999999999</v>
      </c>
      <c r="AP34" s="20">
        <v>-1.9652000000000001</v>
      </c>
      <c r="AQ34" s="20">
        <v>-0.42530000000000001</v>
      </c>
      <c r="AR34" s="20">
        <v>-1.1997</v>
      </c>
      <c r="AS34" s="20">
        <v>-0.46100000000000002</v>
      </c>
      <c r="AT34" s="20">
        <v>-0.33189999999999997</v>
      </c>
      <c r="AU34" s="20">
        <v>0.89680000000000004</v>
      </c>
      <c r="AV34" s="20">
        <v>0.14649999999999999</v>
      </c>
      <c r="AW34" s="6"/>
      <c r="AX34" s="18">
        <v>1.291E-2</v>
      </c>
      <c r="AY34" s="18">
        <v>3.209E-2</v>
      </c>
      <c r="AZ34" s="18">
        <v>0.433</v>
      </c>
      <c r="BA34" s="18">
        <v>2.8539999999999999E-2</v>
      </c>
      <c r="BB34" s="18">
        <v>0.39419999999999999</v>
      </c>
      <c r="BC34" s="18">
        <v>0.54100000000000004</v>
      </c>
      <c r="BD34" s="18">
        <v>9.8680000000000004E-2</v>
      </c>
      <c r="BE34" s="18">
        <v>0.79</v>
      </c>
      <c r="BF34" s="13"/>
      <c r="BG34" t="s">
        <v>1111</v>
      </c>
      <c r="BH34" t="s">
        <v>1368</v>
      </c>
      <c r="BI34" t="s">
        <v>1366</v>
      </c>
      <c r="BJ34" t="s">
        <v>1240</v>
      </c>
      <c r="BK34" t="s">
        <v>1208</v>
      </c>
      <c r="BL34" t="s">
        <v>1398</v>
      </c>
      <c r="BM34" t="s">
        <v>1290</v>
      </c>
      <c r="BN34" s="13"/>
      <c r="BO34" t="s">
        <v>973</v>
      </c>
      <c r="BP34" t="s">
        <v>973</v>
      </c>
      <c r="BQ34" t="s">
        <v>973</v>
      </c>
      <c r="BR34" t="s">
        <v>973</v>
      </c>
    </row>
    <row r="35" spans="1:70" x14ac:dyDescent="0.25">
      <c r="A35" t="s">
        <v>399</v>
      </c>
      <c r="B35" t="s">
        <v>363</v>
      </c>
      <c r="C35" t="s">
        <v>364</v>
      </c>
      <c r="D35" s="6"/>
      <c r="E35" s="9" t="str">
        <f>HYPERLINK("http://plants.ensembl.org/Triticum_aestivum/Gene/Summary?g=TRIAE_CS42_3B_TGACv1_226988_AA0820640","TRIAE_CS42_3B_TGACv1_226988_AA0820640")</f>
        <v>TRIAE_CS42_3B_TGACv1_226988_AA0820640</v>
      </c>
      <c r="F35" s="9" t="str">
        <f>HYPERLINK("http://mar2016-plants.ensembl.org/Triticum_aestivum/Gene/Summary?db=core;g=TRAES3BF072300170CFD","TRAES3BF072300170CFD")</f>
        <v>TRAES3BF072300170CFD</v>
      </c>
      <c r="H35" s="8" t="str">
        <f>HYPERLINK("http://plants.ensembl.org/Brachypodium_distachyon/Gene/Summary?g=Bradi2g61590","Bradi2g61590")</f>
        <v>Bradi2g61590</v>
      </c>
      <c r="I35" s="1" t="s">
        <v>1051</v>
      </c>
      <c r="J35" s="9" t="str">
        <f>HYPERLINK("http://plants.ensembl.org/Oryza_sativa/Gene/Summary?db=otherfeatures;g=LOC_Os01g73250","LOC_Os01g73250")</f>
        <v>LOC_Os01g73250</v>
      </c>
      <c r="L35" s="6"/>
      <c r="M35" s="1" t="s">
        <v>973</v>
      </c>
      <c r="N35" s="1" t="s">
        <v>973</v>
      </c>
      <c r="O35" s="1" t="s">
        <v>973</v>
      </c>
      <c r="P35" s="1" t="s">
        <v>973</v>
      </c>
      <c r="Q35" s="1" t="s">
        <v>973</v>
      </c>
      <c r="R35" s="1" t="s">
        <v>973</v>
      </c>
      <c r="S35" s="1">
        <v>1</v>
      </c>
      <c r="T35" s="6"/>
      <c r="U35" s="11">
        <v>6.8469763064391165</v>
      </c>
      <c r="V35" s="11">
        <v>5.1248326591444311</v>
      </c>
      <c r="W35" s="11">
        <v>6.3656418012498941</v>
      </c>
      <c r="X35" s="11">
        <v>5.4292198102496396</v>
      </c>
      <c r="Y35" s="11">
        <v>7.8095962274503856</v>
      </c>
      <c r="Z35" s="11">
        <v>6.5570786762594162</v>
      </c>
      <c r="AA35" s="11">
        <v>8.3555569502820344</v>
      </c>
      <c r="AB35" s="11">
        <v>6.9778023287766748</v>
      </c>
      <c r="AC35" s="11">
        <v>7.7994787170101816</v>
      </c>
      <c r="AD35" s="11">
        <v>8.2748997666653263</v>
      </c>
      <c r="AE35" s="11">
        <v>6.6723829091403966</v>
      </c>
      <c r="AF35" s="11">
        <v>5.8163155423738626</v>
      </c>
      <c r="AG35" s="11">
        <v>7.9511481139393938</v>
      </c>
      <c r="AH35" s="11">
        <v>6.8840422738493725</v>
      </c>
      <c r="AI35" s="11">
        <v>7.5211531022009064</v>
      </c>
      <c r="AJ35" s="11">
        <v>6.522622330211381</v>
      </c>
      <c r="AK35" s="6"/>
      <c r="AL35" t="s">
        <v>1079</v>
      </c>
      <c r="AM35">
        <v>0</v>
      </c>
      <c r="AN35" s="6"/>
      <c r="AO35" s="20">
        <v>-0.93679999999999997</v>
      </c>
      <c r="AP35" s="20">
        <v>-3.4079000000000002</v>
      </c>
      <c r="AQ35" s="20">
        <v>-0.3054</v>
      </c>
      <c r="AR35" s="20">
        <v>-0.40200000000000002</v>
      </c>
      <c r="AS35" s="20">
        <v>-0.1406</v>
      </c>
      <c r="AT35" s="20">
        <v>-0.3226</v>
      </c>
      <c r="AU35" s="20">
        <v>0.82489999999999997</v>
      </c>
      <c r="AV35" s="20">
        <v>0.4521</v>
      </c>
      <c r="AW35" s="6"/>
      <c r="AX35" s="18">
        <v>9.4769999999999993E-2</v>
      </c>
      <c r="AY35" s="18">
        <v>6.4550000000000006E-8</v>
      </c>
      <c r="AZ35" s="18">
        <v>0.58289999999999997</v>
      </c>
      <c r="BA35" s="18">
        <v>0.47839999999999999</v>
      </c>
      <c r="BB35" s="18">
        <v>0.79820000000000002</v>
      </c>
      <c r="BC35" s="18">
        <v>0.5615</v>
      </c>
      <c r="BD35" s="18">
        <v>0.1336</v>
      </c>
      <c r="BE35" s="18">
        <v>0.4158</v>
      </c>
      <c r="BF35" s="13"/>
      <c r="BG35" t="s">
        <v>1128</v>
      </c>
      <c r="BH35" t="s">
        <v>1129</v>
      </c>
      <c r="BI35" t="s">
        <v>1150</v>
      </c>
      <c r="BJ35" t="s">
        <v>1148</v>
      </c>
      <c r="BK35" t="s">
        <v>1115</v>
      </c>
      <c r="BL35" t="s">
        <v>1381</v>
      </c>
      <c r="BM35" t="s">
        <v>1117</v>
      </c>
      <c r="BN35" s="13"/>
      <c r="BO35" t="s">
        <v>973</v>
      </c>
      <c r="BP35" t="s">
        <v>973</v>
      </c>
      <c r="BQ35" t="s">
        <v>973</v>
      </c>
      <c r="BR35" t="s">
        <v>973</v>
      </c>
    </row>
    <row r="36" spans="1:70" x14ac:dyDescent="0.25">
      <c r="A36" t="s">
        <v>439</v>
      </c>
      <c r="B36" t="s">
        <v>363</v>
      </c>
      <c r="C36" t="s">
        <v>364</v>
      </c>
      <c r="D36" s="6"/>
      <c r="E36" s="9" t="str">
        <f>HYPERLINK("http://plants.ensembl.org/Triticum_aestivum/Gene/Summary?g=TRIAE_CS42_3DL_TGACv1_249203_AA0841220","TRIAE_CS42_3DL_TGACv1_249203_AA0841220")</f>
        <v>TRIAE_CS42_3DL_TGACv1_249203_AA0841220</v>
      </c>
      <c r="F36" s="9" t="str">
        <f>HYPERLINK("http://mar2016-plants.ensembl.org/Triticum_aestivum/Gene/Summary?db=core;g=Traes_3DL_7375E28E9","Traes_3DL_7375E28E9")</f>
        <v>Traes_3DL_7375E28E9</v>
      </c>
      <c r="H36" s="1" t="s">
        <v>1051</v>
      </c>
      <c r="I36" s="1" t="s">
        <v>1051</v>
      </c>
      <c r="J36" s="1" t="s">
        <v>1051</v>
      </c>
      <c r="L36" s="6"/>
      <c r="M36" s="1" t="s">
        <v>973</v>
      </c>
      <c r="N36" s="1" t="s">
        <v>973</v>
      </c>
      <c r="O36" s="1" t="s">
        <v>973</v>
      </c>
      <c r="P36" s="1" t="s">
        <v>973</v>
      </c>
      <c r="Q36" s="1" t="s">
        <v>973</v>
      </c>
      <c r="R36" s="1" t="s">
        <v>973</v>
      </c>
      <c r="S36" s="1">
        <v>1</v>
      </c>
      <c r="T36" s="6"/>
      <c r="U36" s="11">
        <v>8.8386533800077576</v>
      </c>
      <c r="V36" s="11">
        <v>7.2853929707874734</v>
      </c>
      <c r="W36" s="11">
        <v>9.8854361767543928</v>
      </c>
      <c r="X36" s="11">
        <v>8.1090014430177551</v>
      </c>
      <c r="Y36" s="11">
        <v>10.049010681083567</v>
      </c>
      <c r="Z36" s="11">
        <v>8.709077952128478</v>
      </c>
      <c r="AA36" s="11">
        <v>10.657426893293678</v>
      </c>
      <c r="AB36" s="11">
        <v>9.2949656067406305</v>
      </c>
      <c r="AC36" s="11">
        <v>10.371059183400289</v>
      </c>
      <c r="AD36" s="11">
        <v>10.667685075311114</v>
      </c>
      <c r="AE36" s="11">
        <v>10.437329638193347</v>
      </c>
      <c r="AF36" s="11">
        <v>9.5695330540027133</v>
      </c>
      <c r="AG36" s="11">
        <v>10.819867621618904</v>
      </c>
      <c r="AH36" s="11">
        <v>9.7679809213214384</v>
      </c>
      <c r="AI36" s="11">
        <v>10.482244177263233</v>
      </c>
      <c r="AJ36" s="11">
        <v>8.8728301956640454</v>
      </c>
      <c r="AK36" s="6"/>
      <c r="AL36" t="s">
        <v>1074</v>
      </c>
      <c r="AM36">
        <v>0</v>
      </c>
      <c r="AN36" s="6"/>
      <c r="AO36" s="20">
        <v>-1.5168999999999999</v>
      </c>
      <c r="AP36" s="20">
        <v>-3.3902000000000001</v>
      </c>
      <c r="AQ36" s="20">
        <v>-0.54559999999999997</v>
      </c>
      <c r="AR36" s="20">
        <v>-1.4455</v>
      </c>
      <c r="AS36" s="20">
        <v>-0.76200000000000001</v>
      </c>
      <c r="AT36" s="20">
        <v>-1.0469999999999999</v>
      </c>
      <c r="AU36" s="20">
        <v>0.1731</v>
      </c>
      <c r="AV36" s="20">
        <v>0.41749999999999998</v>
      </c>
      <c r="AW36" s="6"/>
      <c r="AX36" s="18">
        <v>2.4989999999999999E-3</v>
      </c>
      <c r="AY36" s="18">
        <v>6.6550000000000005E-11</v>
      </c>
      <c r="AZ36" s="18">
        <v>0.27389999999999998</v>
      </c>
      <c r="BA36" s="18">
        <v>3.8839999999999999E-3</v>
      </c>
      <c r="BB36" s="18">
        <v>0.12640000000000001</v>
      </c>
      <c r="BC36" s="18">
        <v>3.6150000000000002E-2</v>
      </c>
      <c r="BD36" s="18">
        <v>0.72840000000000005</v>
      </c>
      <c r="BE36" s="18">
        <v>0.40360000000000001</v>
      </c>
      <c r="BF36" s="13"/>
      <c r="BG36" t="s">
        <v>1213</v>
      </c>
      <c r="BH36" t="s">
        <v>1319</v>
      </c>
      <c r="BI36" t="s">
        <v>1221</v>
      </c>
      <c r="BJ36" t="s">
        <v>1239</v>
      </c>
      <c r="BK36" t="s">
        <v>1178</v>
      </c>
      <c r="BL36" t="s">
        <v>1116</v>
      </c>
      <c r="BM36" t="s">
        <v>1117</v>
      </c>
      <c r="BN36" s="13"/>
      <c r="BO36" t="s">
        <v>973</v>
      </c>
      <c r="BP36" t="s">
        <v>973</v>
      </c>
      <c r="BQ36" t="s">
        <v>973</v>
      </c>
      <c r="BR36" t="s">
        <v>973</v>
      </c>
    </row>
    <row r="37" spans="1:70" x14ac:dyDescent="0.25">
      <c r="A37" t="s">
        <v>490</v>
      </c>
      <c r="B37" t="s">
        <v>491</v>
      </c>
      <c r="C37" t="s">
        <v>492</v>
      </c>
      <c r="D37" s="6"/>
      <c r="E37" s="9" t="str">
        <f>HYPERLINK("http://plants.ensembl.org/Triticum_aestivum/Gene/Summary?g=TRIAE_CS42_4AL_TGACv1_289533_AA0972660","TRIAE_CS42_4AL_TGACv1_289533_AA0972660")</f>
        <v>TRIAE_CS42_4AL_TGACv1_289533_AA0972660</v>
      </c>
      <c r="F37" s="9" t="str">
        <f>HYPERLINK("http://mar2016-plants.ensembl.org/Triticum_aestivum/Gene/Summary?db=core;g=Traes_4AL_CCB185362","Traes_4AL_CCB185362")</f>
        <v>Traes_4AL_CCB185362</v>
      </c>
      <c r="H37" s="8" t="str">
        <f>HYPERLINK("http://plants.ensembl.org/Brachypodium_distachyon/Gene/Summary?g=Bradi4g24650","Bradi4g24650")</f>
        <v>Bradi4g24650</v>
      </c>
      <c r="I37" s="1" t="s">
        <v>1051</v>
      </c>
      <c r="J37" s="9" t="str">
        <f>HYPERLINK("http://plants.ensembl.org/Oryza_sativa/Gene/Summary?db=otherfeatures;g=LOC_Os11g06720","LOC_Os11g06720")</f>
        <v>LOC_Os11g06720</v>
      </c>
      <c r="L37" s="6"/>
      <c r="M37" s="1" t="s">
        <v>973</v>
      </c>
      <c r="N37" s="1" t="s">
        <v>973</v>
      </c>
      <c r="O37" s="1" t="s">
        <v>973</v>
      </c>
      <c r="P37" s="1" t="s">
        <v>973</v>
      </c>
      <c r="Q37" s="1" t="s">
        <v>973</v>
      </c>
      <c r="R37" s="1" t="s">
        <v>973</v>
      </c>
      <c r="S37" s="1">
        <v>1</v>
      </c>
      <c r="T37" s="6"/>
      <c r="U37" s="11">
        <v>7.6099610172041929</v>
      </c>
      <c r="V37" s="11">
        <v>6.821723393765815</v>
      </c>
      <c r="W37" s="11">
        <v>9.9180786330521418</v>
      </c>
      <c r="X37" s="11">
        <v>9.1650869590916031</v>
      </c>
      <c r="Y37" s="11">
        <v>10.137002472511549</v>
      </c>
      <c r="Z37" s="11">
        <v>8.8338039587725508</v>
      </c>
      <c r="AA37" s="11">
        <v>11.485183254541923</v>
      </c>
      <c r="AB37" s="11">
        <v>8.8166384227693051</v>
      </c>
      <c r="AC37" s="11">
        <v>9.0850759125210558</v>
      </c>
      <c r="AD37" s="11">
        <v>9.5449654628254894</v>
      </c>
      <c r="AE37" s="11">
        <v>10.427775577825894</v>
      </c>
      <c r="AF37" s="11">
        <v>9.540353839664391</v>
      </c>
      <c r="AG37" s="11">
        <v>10.001507607903841</v>
      </c>
      <c r="AH37" s="11">
        <v>8.9909663913254274</v>
      </c>
      <c r="AI37" s="11">
        <v>10.16999187481877</v>
      </c>
      <c r="AJ37" s="11">
        <v>9.0192038266565895</v>
      </c>
      <c r="AK37" s="6"/>
      <c r="AL37" t="s">
        <v>1095</v>
      </c>
      <c r="AM37">
        <v>0</v>
      </c>
      <c r="AN37" s="6"/>
      <c r="AO37" s="20">
        <v>-1.4430000000000001</v>
      </c>
      <c r="AP37" s="20">
        <v>-2.7143000000000002</v>
      </c>
      <c r="AQ37" s="20">
        <v>-0.49919999999999998</v>
      </c>
      <c r="AR37" s="20">
        <v>-0.36830000000000002</v>
      </c>
      <c r="AS37" s="20">
        <v>0.1326</v>
      </c>
      <c r="AT37" s="20">
        <v>-0.15310000000000001</v>
      </c>
      <c r="AU37" s="20">
        <v>1.288</v>
      </c>
      <c r="AV37" s="20">
        <v>-0.1986</v>
      </c>
      <c r="AW37" s="6"/>
      <c r="AX37" s="18">
        <v>2.963E-2</v>
      </c>
      <c r="AY37" s="18">
        <v>6.4729999999999999E-5</v>
      </c>
      <c r="AZ37" s="18">
        <v>0.44779999999999998</v>
      </c>
      <c r="BA37" s="18">
        <v>0.57569999999999999</v>
      </c>
      <c r="BB37" s="18">
        <v>0.84019999999999995</v>
      </c>
      <c r="BC37" s="18">
        <v>0.81620000000000004</v>
      </c>
      <c r="BD37" s="18">
        <v>5.0049999999999997E-2</v>
      </c>
      <c r="BE37" s="18">
        <v>0.76300000000000001</v>
      </c>
      <c r="BF37" s="13"/>
      <c r="BG37" t="s">
        <v>1128</v>
      </c>
      <c r="BH37" t="s">
        <v>1177</v>
      </c>
      <c r="BI37" t="s">
        <v>1113</v>
      </c>
      <c r="BJ37" t="s">
        <v>1217</v>
      </c>
      <c r="BK37" t="s">
        <v>1115</v>
      </c>
      <c r="BL37" t="s">
        <v>1116</v>
      </c>
      <c r="BM37" t="s">
        <v>1117</v>
      </c>
      <c r="BN37" s="13"/>
      <c r="BO37" t="s">
        <v>973</v>
      </c>
      <c r="BP37" t="s">
        <v>973</v>
      </c>
      <c r="BQ37" t="s">
        <v>973</v>
      </c>
      <c r="BR37" t="s">
        <v>973</v>
      </c>
    </row>
    <row r="38" spans="1:70" x14ac:dyDescent="0.25">
      <c r="A38" t="s">
        <v>541</v>
      </c>
      <c r="B38" t="s">
        <v>491</v>
      </c>
      <c r="C38" t="s">
        <v>492</v>
      </c>
      <c r="D38" s="6"/>
      <c r="E38" s="9" t="str">
        <f>HYPERLINK("http://plants.ensembl.org/Triticum_aestivum/Gene/Summary?g=TRIAE_CS42_4BS_TGACv1_328208_AA1084630","TRIAE_CS42_4BS_TGACv1_328208_AA1084630")</f>
        <v>TRIAE_CS42_4BS_TGACv1_328208_AA1084630</v>
      </c>
      <c r="F38" s="9" t="str">
        <f>HYPERLINK("http://mar2016-plants.ensembl.org/Triticum_aestivum/Gene/Summary?db=core;g=Traes_4BS_BB26E5EE1","Traes_4BS_BB26E5EE1")</f>
        <v>Traes_4BS_BB26E5EE1</v>
      </c>
      <c r="H38" s="8" t="str">
        <f>HYPERLINK("http://plants.ensembl.org/Brachypodium_distachyon/Gene/Summary?g=Bradi4g24650","Bradi4g24650")</f>
        <v>Bradi4g24650</v>
      </c>
      <c r="I38" s="1" t="s">
        <v>1051</v>
      </c>
      <c r="J38" s="9" t="str">
        <f>HYPERLINK("http://plants.ensembl.org/Oryza_sativa/Gene/Summary?db=otherfeatures;g=LOC_Os11g06720","LOC_Os11g06720")</f>
        <v>LOC_Os11g06720</v>
      </c>
      <c r="L38" s="6"/>
      <c r="M38" s="1" t="s">
        <v>973</v>
      </c>
      <c r="N38" s="1" t="s">
        <v>973</v>
      </c>
      <c r="O38" s="1" t="s">
        <v>973</v>
      </c>
      <c r="P38" s="1" t="s">
        <v>973</v>
      </c>
      <c r="Q38" s="1" t="s">
        <v>973</v>
      </c>
      <c r="R38" s="1" t="s">
        <v>973</v>
      </c>
      <c r="S38" s="1">
        <v>1</v>
      </c>
      <c r="T38" s="6"/>
      <c r="U38" s="11">
        <v>7.7994001410945772</v>
      </c>
      <c r="V38" s="11">
        <v>8.154161913255578</v>
      </c>
      <c r="W38" s="11">
        <v>9.5049905519000166</v>
      </c>
      <c r="X38" s="11">
        <v>8.9882473627272343</v>
      </c>
      <c r="Y38" s="11">
        <v>10.022217848182628</v>
      </c>
      <c r="Z38" s="11">
        <v>8.9990751013789101</v>
      </c>
      <c r="AA38" s="11">
        <v>11.059103833839508</v>
      </c>
      <c r="AB38" s="11">
        <v>8.3873948542786074</v>
      </c>
      <c r="AC38" s="11">
        <v>9.0152904316067026</v>
      </c>
      <c r="AD38" s="11">
        <v>9.1475639849483805</v>
      </c>
      <c r="AE38" s="11">
        <v>9.9131742553299418</v>
      </c>
      <c r="AF38" s="11">
        <v>9.1093284306625666</v>
      </c>
      <c r="AG38" s="11">
        <v>9.950373003142813</v>
      </c>
      <c r="AH38" s="11">
        <v>8.7317137662731756</v>
      </c>
      <c r="AI38" s="11">
        <v>9.6510353620754845</v>
      </c>
      <c r="AJ38" s="11">
        <v>8.6948367906063382</v>
      </c>
      <c r="AK38" s="6"/>
      <c r="AL38" t="s">
        <v>1095</v>
      </c>
      <c r="AM38">
        <v>0</v>
      </c>
      <c r="AN38" s="6"/>
      <c r="AO38" s="20">
        <v>-1.2003999999999999</v>
      </c>
      <c r="AP38" s="20">
        <v>-1.0179</v>
      </c>
      <c r="AQ38" s="20">
        <v>-0.40300000000000002</v>
      </c>
      <c r="AR38" s="20">
        <v>-0.1207</v>
      </c>
      <c r="AS38" s="20">
        <v>7.0800000000000002E-2</v>
      </c>
      <c r="AT38" s="20">
        <v>0.26540000000000002</v>
      </c>
      <c r="AU38" s="20">
        <v>1.3900999999999999</v>
      </c>
      <c r="AV38" s="20">
        <v>-0.30409999999999998</v>
      </c>
      <c r="AW38" s="6"/>
      <c r="AX38" s="18">
        <v>2.3820000000000001E-2</v>
      </c>
      <c r="AY38" s="18">
        <v>5.8549999999999998E-2</v>
      </c>
      <c r="AZ38" s="18">
        <v>0.44230000000000003</v>
      </c>
      <c r="BA38" s="18">
        <v>0.81830000000000003</v>
      </c>
      <c r="BB38" s="18">
        <v>0.89259999999999995</v>
      </c>
      <c r="BC38" s="18">
        <v>0.61360000000000003</v>
      </c>
      <c r="BD38" s="18">
        <v>8.0040000000000007E-3</v>
      </c>
      <c r="BE38" s="18">
        <v>0.5635</v>
      </c>
      <c r="BF38" s="13"/>
      <c r="BG38" t="s">
        <v>1250</v>
      </c>
      <c r="BH38" t="s">
        <v>1324</v>
      </c>
      <c r="BI38" t="s">
        <v>1113</v>
      </c>
      <c r="BJ38" t="s">
        <v>1217</v>
      </c>
      <c r="BK38" t="s">
        <v>1115</v>
      </c>
      <c r="BL38" t="s">
        <v>1214</v>
      </c>
      <c r="BM38" t="s">
        <v>1117</v>
      </c>
      <c r="BN38" s="13"/>
      <c r="BO38" t="s">
        <v>973</v>
      </c>
      <c r="BP38" t="s">
        <v>973</v>
      </c>
      <c r="BQ38" t="s">
        <v>973</v>
      </c>
      <c r="BR38" t="s">
        <v>973</v>
      </c>
    </row>
    <row r="39" spans="1:70" x14ac:dyDescent="0.25">
      <c r="A39" t="s">
        <v>575</v>
      </c>
      <c r="B39" t="s">
        <v>491</v>
      </c>
      <c r="C39" t="s">
        <v>492</v>
      </c>
      <c r="D39" s="6"/>
      <c r="E39" s="9" t="str">
        <f>HYPERLINK("http://plants.ensembl.org/Triticum_aestivum/Gene/Summary?g=TRIAE_CS42_4DS_TGACv1_361385_AA1166720","TRIAE_CS42_4DS_TGACv1_361385_AA1166720")</f>
        <v>TRIAE_CS42_4DS_TGACv1_361385_AA1166720</v>
      </c>
      <c r="F39" s="9" t="str">
        <f>HYPERLINK("http://mar2016-plants.ensembl.org/Triticum_aestivum/Gene/Summary?db=core;g=Traes_4DS_E2055C83D","Traes_4DS_E2055C83D")</f>
        <v>Traes_4DS_E2055C83D</v>
      </c>
      <c r="H39" s="8" t="str">
        <f>HYPERLINK("http://plants.ensembl.org/Brachypodium_distachyon/Gene/Summary?g=Bradi4g24650","Bradi4g24650")</f>
        <v>Bradi4g24650</v>
      </c>
      <c r="I39" s="1" t="s">
        <v>1051</v>
      </c>
      <c r="J39" s="9" t="str">
        <f>HYPERLINK("http://plants.ensembl.org/Oryza_sativa/Gene/Summary?db=otherfeatures;g=LOC_Os11g06720","LOC_Os11g06720")</f>
        <v>LOC_Os11g06720</v>
      </c>
      <c r="L39" s="6"/>
      <c r="M39" s="1" t="s">
        <v>973</v>
      </c>
      <c r="N39" s="1" t="s">
        <v>973</v>
      </c>
      <c r="O39" s="1" t="s">
        <v>973</v>
      </c>
      <c r="P39" s="1" t="s">
        <v>973</v>
      </c>
      <c r="Q39" s="1" t="s">
        <v>973</v>
      </c>
      <c r="R39" s="1" t="s">
        <v>973</v>
      </c>
      <c r="S39" s="1">
        <v>1</v>
      </c>
      <c r="T39" s="6"/>
      <c r="U39" s="11">
        <v>7.6784693898536602</v>
      </c>
      <c r="V39" s="11">
        <v>7.3885041307118406</v>
      </c>
      <c r="W39" s="11">
        <v>9.596743552780886</v>
      </c>
      <c r="X39" s="11">
        <v>8.5307894441803125</v>
      </c>
      <c r="Y39" s="11">
        <v>10.026914332713041</v>
      </c>
      <c r="Z39" s="11">
        <v>8.4654760719948818</v>
      </c>
      <c r="AA39" s="11">
        <v>11.023922634808068</v>
      </c>
      <c r="AB39" s="11">
        <v>8.2435078755659212</v>
      </c>
      <c r="AC39" s="11">
        <v>9.6298811410964351</v>
      </c>
      <c r="AD39" s="11">
        <v>9.6212158638628633</v>
      </c>
      <c r="AE39" s="11">
        <v>10.501733008609555</v>
      </c>
      <c r="AF39" s="11">
        <v>9.1537202307715262</v>
      </c>
      <c r="AG39" s="11">
        <v>10.67510283280847</v>
      </c>
      <c r="AH39" s="11">
        <v>8.7403651062579346</v>
      </c>
      <c r="AI39" s="11">
        <v>10.086371700004404</v>
      </c>
      <c r="AJ39" s="11">
        <v>8.712780667777988</v>
      </c>
      <c r="AK39" s="6"/>
      <c r="AL39" t="s">
        <v>1095</v>
      </c>
      <c r="AM39">
        <v>0</v>
      </c>
      <c r="AN39" s="6"/>
      <c r="AO39" s="20">
        <v>-1.915</v>
      </c>
      <c r="AP39" s="20">
        <v>-2.2208000000000001</v>
      </c>
      <c r="AQ39" s="20">
        <v>-0.88539999999999996</v>
      </c>
      <c r="AR39" s="20">
        <v>-0.61040000000000005</v>
      </c>
      <c r="AS39" s="20">
        <v>-0.63419999999999999</v>
      </c>
      <c r="AT39" s="20">
        <v>-0.26819999999999999</v>
      </c>
      <c r="AU39" s="20">
        <v>0.91720000000000002</v>
      </c>
      <c r="AV39" s="20">
        <v>-0.4597</v>
      </c>
      <c r="AW39" s="6"/>
      <c r="AX39" s="18">
        <v>4.81E-3</v>
      </c>
      <c r="AY39" s="18">
        <v>1.268E-3</v>
      </c>
      <c r="AZ39" s="18">
        <v>0.189</v>
      </c>
      <c r="BA39" s="18">
        <v>0.3659</v>
      </c>
      <c r="BB39" s="18">
        <v>0.34660000000000002</v>
      </c>
      <c r="BC39" s="18">
        <v>0.69120000000000004</v>
      </c>
      <c r="BD39" s="18">
        <v>0.1734</v>
      </c>
      <c r="BE39" s="18">
        <v>0.49619999999999997</v>
      </c>
      <c r="BF39" s="13"/>
      <c r="BG39" t="s">
        <v>1164</v>
      </c>
      <c r="BH39" t="s">
        <v>1324</v>
      </c>
      <c r="BI39" t="s">
        <v>1113</v>
      </c>
      <c r="BJ39" t="s">
        <v>1217</v>
      </c>
      <c r="BK39" t="s">
        <v>1208</v>
      </c>
      <c r="BL39" t="s">
        <v>1116</v>
      </c>
      <c r="BM39" t="s">
        <v>1117</v>
      </c>
      <c r="BN39" s="13"/>
      <c r="BO39" t="s">
        <v>973</v>
      </c>
      <c r="BP39" t="s">
        <v>973</v>
      </c>
      <c r="BQ39" t="s">
        <v>973</v>
      </c>
      <c r="BR39" t="s">
        <v>973</v>
      </c>
    </row>
    <row r="40" spans="1:70" x14ac:dyDescent="0.25">
      <c r="A40" t="s">
        <v>534</v>
      </c>
      <c r="B40" t="s">
        <v>499</v>
      </c>
      <c r="C40" t="s">
        <v>500</v>
      </c>
      <c r="D40" s="6"/>
      <c r="E40" s="9" t="str">
        <f>HYPERLINK("http://plants.ensembl.org/Triticum_aestivum/Gene/Summary?g=TRIAE_CS42_4BS_TGACv1_329397_AA1100890","TRIAE_CS42_4BS_TGACv1_329397_AA1100890")</f>
        <v>TRIAE_CS42_4BS_TGACv1_329397_AA1100890</v>
      </c>
      <c r="F40" s="9" t="str">
        <f>HYPERLINK("http://mar2016-plants.ensembl.org/Triticum_aestivum/Gene/Summary?db=core;g=Traes_4BS_9EF72B0BA","Traes_4BS_9EF72B0BA")</f>
        <v>Traes_4BS_9EF72B0BA</v>
      </c>
      <c r="G40" t="s">
        <v>1010</v>
      </c>
      <c r="H40" s="8" t="str">
        <f>HYPERLINK("http://plants.ensembl.org/Brachypodium_distachyon/Gene/Summary?g=Bradi1g11280","Bradi1g11280")</f>
        <v>Bradi1g11280</v>
      </c>
      <c r="I40" s="8" t="str">
        <f>HYPERLINK("http://plants.ensembl.org/Arabidopsis_thaliana/Gene/Summary?g=AT4G39670","AT4G39670")</f>
        <v>AT4G39670</v>
      </c>
      <c r="J40" s="9" t="str">
        <f>HYPERLINK("http://plants.ensembl.org/Oryza_sativa/Gene/Summary?db=otherfeatures;g=LOC_Os03g50280","LOC_Os03g50280")</f>
        <v>LOC_Os03g50280</v>
      </c>
      <c r="K40" s="9" t="str">
        <f>HYPERLINK("http://plants.ensembl.org/Zea_mays/Gene/Summary?db=otherfeatures;g=GRMZM2G011098","GRMZM2G011098")</f>
        <v>GRMZM2G011098</v>
      </c>
      <c r="L40" s="6"/>
      <c r="M40">
        <v>1</v>
      </c>
      <c r="N40">
        <v>1</v>
      </c>
      <c r="O40">
        <v>1</v>
      </c>
      <c r="P40" t="s">
        <v>973</v>
      </c>
      <c r="S40">
        <v>1</v>
      </c>
      <c r="T40" s="6"/>
      <c r="U40" s="11">
        <v>6.0059089435297484</v>
      </c>
      <c r="V40" s="11">
        <v>8.2511418360079407</v>
      </c>
      <c r="W40" s="11">
        <v>4.325693420042831</v>
      </c>
      <c r="X40" s="11">
        <v>5.3134502432959749</v>
      </c>
      <c r="Y40" s="11">
        <v>5.2025535474138742</v>
      </c>
      <c r="Z40" s="11">
        <v>5.3119184166184636</v>
      </c>
      <c r="AA40" s="11">
        <v>4.741635965082768</v>
      </c>
      <c r="AB40" s="11">
        <v>5.368160697089972</v>
      </c>
      <c r="AC40" s="11">
        <v>2.84197311892718</v>
      </c>
      <c r="AD40" s="11">
        <v>2.7465492544254784</v>
      </c>
      <c r="AE40" s="11">
        <v>3.3122827661040466</v>
      </c>
      <c r="AF40" s="11">
        <v>3.349219000077182</v>
      </c>
      <c r="AG40" s="11">
        <v>3.4529424058495608</v>
      </c>
      <c r="AH40" s="11">
        <v>2.332956117890467</v>
      </c>
      <c r="AI40" s="11">
        <v>3.0189367807978424</v>
      </c>
      <c r="AJ40" s="11">
        <v>2.6754170088504345</v>
      </c>
      <c r="AK40" s="6"/>
      <c r="AL40" t="s">
        <v>1077</v>
      </c>
      <c r="AM40">
        <v>1051</v>
      </c>
      <c r="AN40" s="6"/>
      <c r="AO40" s="20">
        <v>3.4266000000000001</v>
      </c>
      <c r="AP40" s="20">
        <v>5.9583000000000004</v>
      </c>
      <c r="AQ40" s="20">
        <v>1.0674999999999999</v>
      </c>
      <c r="AR40" s="20">
        <v>1.9593</v>
      </c>
      <c r="AS40" s="20">
        <v>1.8156000000000001</v>
      </c>
      <c r="AT40" s="20">
        <v>3.2650999999999999</v>
      </c>
      <c r="AU40" s="20">
        <v>1.8689</v>
      </c>
      <c r="AV40" s="20">
        <v>2.8626999999999998</v>
      </c>
      <c r="AW40" s="6"/>
      <c r="AX40" s="18">
        <v>5.7430000000000001E-12</v>
      </c>
      <c r="AY40" s="18">
        <v>1.9779999999999999E-24</v>
      </c>
      <c r="AZ40" s="18">
        <v>2.0449999999999999E-2</v>
      </c>
      <c r="BA40" s="18">
        <v>1.15E-5</v>
      </c>
      <c r="BB40" s="18">
        <v>1.8199999999999999E-5</v>
      </c>
      <c r="BC40" s="18">
        <v>1.006E-9</v>
      </c>
      <c r="BD40" s="18">
        <v>5.7569999999999999E-5</v>
      </c>
      <c r="BE40" s="18">
        <v>3.7289999999999998E-9</v>
      </c>
      <c r="BF40" s="13"/>
      <c r="BG40" t="s">
        <v>1125</v>
      </c>
      <c r="BH40" t="s">
        <v>1126</v>
      </c>
      <c r="BI40" t="s">
        <v>1113</v>
      </c>
      <c r="BJ40" t="s">
        <v>1127</v>
      </c>
      <c r="BK40" t="s">
        <v>1115</v>
      </c>
      <c r="BL40" t="s">
        <v>1116</v>
      </c>
      <c r="BM40" t="s">
        <v>1117</v>
      </c>
      <c r="BN40" s="13"/>
      <c r="BO40" t="s">
        <v>973</v>
      </c>
      <c r="BP40">
        <v>1</v>
      </c>
      <c r="BQ40" t="s">
        <v>973</v>
      </c>
      <c r="BR40" t="s">
        <v>973</v>
      </c>
    </row>
    <row r="41" spans="1:70" x14ac:dyDescent="0.25">
      <c r="A41" t="s">
        <v>567</v>
      </c>
      <c r="B41" t="s">
        <v>499</v>
      </c>
      <c r="C41" t="s">
        <v>500</v>
      </c>
      <c r="D41" s="6"/>
      <c r="E41" s="9" t="str">
        <f>HYPERLINK("http://plants.ensembl.org/Triticum_aestivum/Gene/Summary?g=TRIAE_CS42_4DS_TGACv1_361806_AA1172990","TRIAE_CS42_4DS_TGACv1_361806_AA1172990")</f>
        <v>TRIAE_CS42_4DS_TGACv1_361806_AA1172990</v>
      </c>
      <c r="F41" s="9" t="str">
        <f>HYPERLINK("http://mar2016-plants.ensembl.org/Triticum_aestivum/Gene/Summary?db=core;g=Traes_4DS_AF2E3D847","Traes_4DS_AF2E3D847")</f>
        <v>Traes_4DS_AF2E3D847</v>
      </c>
      <c r="G41" t="s">
        <v>1010</v>
      </c>
      <c r="H41" s="8" t="str">
        <f>HYPERLINK("http://plants.ensembl.org/Brachypodium_distachyon/Gene/Summary?g=Bradi1g11280","Bradi1g11280")</f>
        <v>Bradi1g11280</v>
      </c>
      <c r="I41" s="8" t="str">
        <f>HYPERLINK("http://plants.ensembl.org/Arabidopsis_thaliana/Gene/Summary?g=AT4G39670","AT4G39670")</f>
        <v>AT4G39670</v>
      </c>
      <c r="J41" s="9" t="str">
        <f>HYPERLINK("http://plants.ensembl.org/Oryza_sativa/Gene/Summary?db=otherfeatures;g=LOC_Os03g50280","LOC_Os03g50280")</f>
        <v>LOC_Os03g50280</v>
      </c>
      <c r="K41" s="9" t="str">
        <f>HYPERLINK("http://plants.ensembl.org/Zea_mays/Gene/Summary?db=otherfeatures;g=GRMZM2G011098","GRMZM2G011098")</f>
        <v>GRMZM2G011098</v>
      </c>
      <c r="L41" s="6"/>
      <c r="M41">
        <v>1</v>
      </c>
      <c r="N41">
        <v>1</v>
      </c>
      <c r="O41">
        <v>1</v>
      </c>
      <c r="P41" t="s">
        <v>973</v>
      </c>
      <c r="S41">
        <v>1</v>
      </c>
      <c r="T41" s="6"/>
      <c r="U41" s="11">
        <v>7.0519520796347228</v>
      </c>
      <c r="V41" s="11">
        <v>8.3950725134486319</v>
      </c>
      <c r="W41" s="11">
        <v>5.2805233414045505</v>
      </c>
      <c r="X41" s="11">
        <v>6.0194743444104528</v>
      </c>
      <c r="Y41" s="11">
        <v>5.9320202137487419</v>
      </c>
      <c r="Z41" s="11">
        <v>5.8090533822893198</v>
      </c>
      <c r="AA41" s="11">
        <v>5.9531131069203624</v>
      </c>
      <c r="AB41" s="11">
        <v>5.9785884420766688</v>
      </c>
      <c r="AC41" s="11">
        <v>3.3688195571052022</v>
      </c>
      <c r="AD41" s="11">
        <v>2.264256171651799</v>
      </c>
      <c r="AE41" s="11">
        <v>2.5987542548927633</v>
      </c>
      <c r="AF41" s="11">
        <v>3.3183891550635209</v>
      </c>
      <c r="AG41" s="11">
        <v>3.2735954570379362</v>
      </c>
      <c r="AH41" s="11">
        <v>1.6448253552390655</v>
      </c>
      <c r="AI41" s="11">
        <v>3.2766554674997486</v>
      </c>
      <c r="AJ41" s="11">
        <v>3.5253255655105686</v>
      </c>
      <c r="AK41" s="6"/>
      <c r="AL41" t="s">
        <v>1077</v>
      </c>
      <c r="AM41">
        <v>462</v>
      </c>
      <c r="AN41" s="6"/>
      <c r="AO41" s="20">
        <v>3.8521000000000001</v>
      </c>
      <c r="AP41" s="20">
        <v>5.8935000000000004</v>
      </c>
      <c r="AQ41" s="20">
        <v>2.8428</v>
      </c>
      <c r="AR41" s="20">
        <v>2.69</v>
      </c>
      <c r="AS41" s="20">
        <v>2.7259000000000002</v>
      </c>
      <c r="AT41" s="20">
        <v>4.5572999999999997</v>
      </c>
      <c r="AU41" s="20">
        <v>2.7648999999999999</v>
      </c>
      <c r="AV41" s="20">
        <v>2.5217999999999998</v>
      </c>
      <c r="AW41" s="6"/>
      <c r="AX41" s="18">
        <v>8.5180000000000007E-12</v>
      </c>
      <c r="AY41" s="18">
        <v>8.2490000000000004E-19</v>
      </c>
      <c r="AZ41" s="18">
        <v>1.657E-6</v>
      </c>
      <c r="BA41" s="18">
        <v>1.215E-6</v>
      </c>
      <c r="BB41" s="18">
        <v>3.9970000000000001E-7</v>
      </c>
      <c r="BC41" s="18">
        <v>9.0779999999999996E-11</v>
      </c>
      <c r="BD41" s="18">
        <v>5.2639999999999995E-7</v>
      </c>
      <c r="BE41" s="18">
        <v>3.7060000000000002E-6</v>
      </c>
      <c r="BF41" s="13"/>
      <c r="BG41" t="s">
        <v>1191</v>
      </c>
      <c r="BH41" t="s">
        <v>1211</v>
      </c>
      <c r="BI41" t="s">
        <v>1113</v>
      </c>
      <c r="BJ41" t="s">
        <v>1114</v>
      </c>
      <c r="BK41" t="s">
        <v>1115</v>
      </c>
      <c r="BL41" t="s">
        <v>1116</v>
      </c>
      <c r="BM41" t="s">
        <v>1117</v>
      </c>
      <c r="BN41" s="13"/>
      <c r="BO41" t="s">
        <v>973</v>
      </c>
      <c r="BP41" t="s">
        <v>973</v>
      </c>
      <c r="BQ41" t="s">
        <v>973</v>
      </c>
      <c r="BR41" t="s">
        <v>973</v>
      </c>
    </row>
    <row r="42" spans="1:70" x14ac:dyDescent="0.25">
      <c r="A42" t="s">
        <v>655</v>
      </c>
      <c r="B42" t="s">
        <v>656</v>
      </c>
      <c r="C42" t="s">
        <v>500</v>
      </c>
      <c r="D42" s="6"/>
      <c r="E42" s="9" t="str">
        <f>HYPERLINK("http://plants.ensembl.org/Triticum_aestivum/Gene/Summary?g=TRIAE_CS42_5AL_TGACv1_378349_AA1252800","TRIAE_CS42_5AL_TGACv1_378349_AA1252800")</f>
        <v>TRIAE_CS42_5AL_TGACv1_378349_AA1252800</v>
      </c>
      <c r="F42" s="9" t="str">
        <f>HYPERLINK("http://mar2016-plants.ensembl.org/Triticum_aestivum/Gene/Summary?db=core;g=Traes_5AL_0FCB94413","Traes_5AL_0FCB94413")</f>
        <v>Traes_5AL_0FCB94413</v>
      </c>
      <c r="G42" t="s">
        <v>1017</v>
      </c>
      <c r="H42" s="8" t="str">
        <f>HYPERLINK("http://plants.ensembl.org/Brachypodium_distachyon/Gene/Summary?g=Bradi1g06511","Bradi1g06511")</f>
        <v>Bradi1g06511</v>
      </c>
      <c r="I42" s="8" t="str">
        <f>HYPERLINK("http://plants.ensembl.org/Arabidopsis_thaliana/Gene/Summary?g=AT2G34690","AT2G34690")</f>
        <v>AT2G34690</v>
      </c>
      <c r="J42" s="9" t="str">
        <f>HYPERLINK("http://plants.ensembl.org/Oryza_sativa/Gene/Summary?db=otherfeatures;g=LOC_Os03g57140","LOC_Os03g57140")</f>
        <v>LOC_Os03g57140</v>
      </c>
      <c r="K42" s="9" t="str">
        <f>HYPERLINK("http://plants.ensembl.org/Zea_mays/Gene/Summary?db=otherfeatures;g=GRMZM2G058872","GRMZM2G058872")</f>
        <v>GRMZM2G058872</v>
      </c>
      <c r="L42" s="6"/>
      <c r="M42">
        <v>1</v>
      </c>
      <c r="N42" t="s">
        <v>973</v>
      </c>
      <c r="O42" t="s">
        <v>973</v>
      </c>
      <c r="P42" t="s">
        <v>973</v>
      </c>
      <c r="S42" t="s">
        <v>973</v>
      </c>
      <c r="T42" s="6"/>
      <c r="U42" s="11">
        <v>6.2572388508057095</v>
      </c>
      <c r="V42" s="11">
        <v>5.9816319710315122</v>
      </c>
      <c r="W42" s="11">
        <v>5.8091022724502368</v>
      </c>
      <c r="X42" s="11">
        <v>6.3162622202480589</v>
      </c>
      <c r="Y42" s="11">
        <v>5.86131937317574</v>
      </c>
      <c r="Z42" s="11">
        <v>6.238322570247715</v>
      </c>
      <c r="AA42" s="11">
        <v>6.2013090875534402</v>
      </c>
      <c r="AB42" s="11">
        <v>6.5152036130197981</v>
      </c>
      <c r="AC42" s="11">
        <v>5.7279059368042082</v>
      </c>
      <c r="AD42" s="11">
        <v>5.6386231927339514</v>
      </c>
      <c r="AE42" s="11">
        <v>6.1578892126564702</v>
      </c>
      <c r="AF42" s="11">
        <v>6.0923942196000889</v>
      </c>
      <c r="AG42" s="11">
        <v>6.2728941187831753</v>
      </c>
      <c r="AH42" s="11">
        <v>6.5016227878059087</v>
      </c>
      <c r="AI42" s="11">
        <v>6.3142167558314783</v>
      </c>
      <c r="AJ42" s="11">
        <v>6.8861538150937607</v>
      </c>
      <c r="AK42" s="6"/>
      <c r="AL42" t="s">
        <v>1087</v>
      </c>
      <c r="AM42">
        <v>0</v>
      </c>
      <c r="AN42" s="6"/>
      <c r="AO42" s="20">
        <v>0.4078</v>
      </c>
      <c r="AP42" s="20">
        <v>0.4965</v>
      </c>
      <c r="AQ42" s="20">
        <v>-0.34839999999999999</v>
      </c>
      <c r="AR42" s="20">
        <v>0.19670000000000001</v>
      </c>
      <c r="AS42" s="20">
        <v>-0.41249999999999998</v>
      </c>
      <c r="AT42" s="20">
        <v>-0.24660000000000001</v>
      </c>
      <c r="AU42" s="20">
        <v>-0.1193</v>
      </c>
      <c r="AV42" s="20">
        <v>-0.37040000000000001</v>
      </c>
      <c r="AW42" s="6"/>
      <c r="AX42" s="18">
        <v>6.9370000000000001E-2</v>
      </c>
      <c r="AY42" s="18">
        <v>7.4999999999999997E-2</v>
      </c>
      <c r="AZ42" s="18">
        <v>7.0499999999999993E-2</v>
      </c>
      <c r="BA42" s="18">
        <v>0.3009</v>
      </c>
      <c r="BB42" s="18">
        <v>2.9049999999999999E-2</v>
      </c>
      <c r="BC42" s="18">
        <v>0.1802</v>
      </c>
      <c r="BD42" s="18">
        <v>0.51019999999999999</v>
      </c>
      <c r="BE42" s="18">
        <v>3.746E-2</v>
      </c>
      <c r="BF42" s="13"/>
      <c r="BG42" t="s">
        <v>1111</v>
      </c>
      <c r="BH42" t="s">
        <v>1112</v>
      </c>
      <c r="BI42" t="s">
        <v>1181</v>
      </c>
      <c r="BJ42" t="s">
        <v>1114</v>
      </c>
      <c r="BK42" t="s">
        <v>1115</v>
      </c>
      <c r="BL42" t="s">
        <v>1116</v>
      </c>
      <c r="BM42" t="s">
        <v>1117</v>
      </c>
      <c r="BN42" s="13"/>
      <c r="BO42" t="s">
        <v>973</v>
      </c>
      <c r="BP42" t="s">
        <v>973</v>
      </c>
      <c r="BQ42" t="s">
        <v>973</v>
      </c>
      <c r="BR42" t="s">
        <v>973</v>
      </c>
    </row>
    <row r="43" spans="1:70" x14ac:dyDescent="0.25">
      <c r="A43" t="s">
        <v>793</v>
      </c>
      <c r="B43" t="s">
        <v>794</v>
      </c>
      <c r="C43" t="s">
        <v>795</v>
      </c>
      <c r="D43" s="6"/>
      <c r="E43" s="9" t="str">
        <f>HYPERLINK("http://plants.ensembl.org/Triticum_aestivum/Gene/Summary?g=TRIAE_CS42_6AL_TGACv1_473807_AA1533030","TRIAE_CS42_6AL_TGACv1_473807_AA1533030")</f>
        <v>TRIAE_CS42_6AL_TGACv1_473807_AA1533030</v>
      </c>
      <c r="F43" s="9" t="str">
        <f>HYPERLINK("http://mar2016-plants.ensembl.org/Triticum_aestivum/Gene/Summary?db=core;g=Traes_6AL_02AE44445","Traes_6AL_02AE44445")</f>
        <v>Traes_6AL_02AE44445</v>
      </c>
      <c r="G43" t="s">
        <v>1030</v>
      </c>
      <c r="H43" s="8" t="str">
        <f>HYPERLINK("http://plants.ensembl.org/Brachypodium_distachyon/Gene/Summary?g=Bradi1g15840","Bradi1g15840")</f>
        <v>Bradi1g15840</v>
      </c>
      <c r="I43" s="8" t="str">
        <f>HYPERLINK("http://plants.ensembl.org/Arabidopsis_thaliana/Gene/Summary?g=AT3G25780","AT3G25780")</f>
        <v>AT3G25780</v>
      </c>
      <c r="J43" s="9" t="str">
        <f>HYPERLINK("http://plants.ensembl.org/Oryza_sativa/Gene/Summary?db=otherfeatures;g=LOC_Os03g32314","LOC_Os03g32314")</f>
        <v>LOC_Os03g32314</v>
      </c>
      <c r="L43" s="6"/>
      <c r="M43" t="s">
        <v>973</v>
      </c>
      <c r="N43">
        <v>1</v>
      </c>
      <c r="O43" t="s">
        <v>973</v>
      </c>
      <c r="P43" t="s">
        <v>973</v>
      </c>
      <c r="S43" t="s">
        <v>973</v>
      </c>
      <c r="T43" s="6"/>
      <c r="U43" s="11">
        <v>10.027815710147095</v>
      </c>
      <c r="V43" s="11">
        <v>11.063258423281361</v>
      </c>
      <c r="W43" s="11">
        <v>9.0451748214236485</v>
      </c>
      <c r="X43" s="11">
        <v>9.5588662726748996</v>
      </c>
      <c r="Y43" s="11">
        <v>8.9610504501217854</v>
      </c>
      <c r="Z43" s="11">
        <v>9.1211249117302184</v>
      </c>
      <c r="AA43" s="11">
        <v>9.2153393331489646</v>
      </c>
      <c r="AB43" s="11">
        <v>9.0795926041405792</v>
      </c>
      <c r="AC43" s="11">
        <v>8.2511093209743134</v>
      </c>
      <c r="AD43" s="11">
        <v>8.8784533598195416</v>
      </c>
      <c r="AE43" s="11">
        <v>7.8641966707170372</v>
      </c>
      <c r="AF43" s="11">
        <v>7.8552071535057904</v>
      </c>
      <c r="AG43" s="11">
        <v>7.9071833127796403</v>
      </c>
      <c r="AH43" s="11">
        <v>7.9632375087510701</v>
      </c>
      <c r="AI43" s="11">
        <v>8.2641954833276845</v>
      </c>
      <c r="AJ43" s="11">
        <v>7.7795412093307199</v>
      </c>
      <c r="AK43" s="6"/>
      <c r="AL43" t="s">
        <v>1077</v>
      </c>
      <c r="AM43">
        <v>6</v>
      </c>
      <c r="AN43" s="6"/>
      <c r="AO43" s="20">
        <v>1.7838000000000001</v>
      </c>
      <c r="AP43" s="20">
        <v>2.1631999999999998</v>
      </c>
      <c r="AQ43" s="20">
        <v>1.1782999999999999</v>
      </c>
      <c r="AR43" s="20">
        <v>1.6938</v>
      </c>
      <c r="AS43" s="20">
        <v>1.0509999999999999</v>
      </c>
      <c r="AT43" s="20">
        <v>1.1558999999999999</v>
      </c>
      <c r="AU43" s="20">
        <v>0.94869999999999999</v>
      </c>
      <c r="AV43" s="20">
        <v>1.2976000000000001</v>
      </c>
      <c r="AW43" s="6"/>
      <c r="AX43" s="18">
        <v>7.9710000000000007E-9</v>
      </c>
      <c r="AY43" s="18">
        <v>4.8579999999999997E-12</v>
      </c>
      <c r="AZ43" s="18">
        <v>1.3430000000000001E-4</v>
      </c>
      <c r="BA43" s="18">
        <v>4.1239999999999997E-8</v>
      </c>
      <c r="BB43" s="18">
        <v>6.3739999999999999E-4</v>
      </c>
      <c r="BC43" s="18">
        <v>1.8139999999999999E-4</v>
      </c>
      <c r="BD43" s="18">
        <v>2.013E-3</v>
      </c>
      <c r="BE43" s="18">
        <v>2.6800000000000001E-5</v>
      </c>
      <c r="BF43" s="13"/>
      <c r="BG43" t="s">
        <v>1190</v>
      </c>
      <c r="BH43" t="s">
        <v>1265</v>
      </c>
      <c r="BI43" t="s">
        <v>1150</v>
      </c>
      <c r="BJ43" t="s">
        <v>1127</v>
      </c>
      <c r="BK43" t="s">
        <v>1115</v>
      </c>
      <c r="BL43" t="s">
        <v>1116</v>
      </c>
      <c r="BM43" t="s">
        <v>1117</v>
      </c>
      <c r="BN43" s="13"/>
      <c r="BO43" t="s">
        <v>973</v>
      </c>
      <c r="BP43" t="s">
        <v>973</v>
      </c>
      <c r="BQ43" t="s">
        <v>973</v>
      </c>
      <c r="BR43" t="s">
        <v>973</v>
      </c>
    </row>
    <row r="44" spans="1:70" x14ac:dyDescent="0.25">
      <c r="A44" t="s">
        <v>838</v>
      </c>
      <c r="B44" t="s">
        <v>794</v>
      </c>
      <c r="C44" t="s">
        <v>795</v>
      </c>
      <c r="D44" s="6"/>
      <c r="E44" s="9" t="str">
        <f>HYPERLINK("http://plants.ensembl.org/Triticum_aestivum/Gene/Summary?g=TRIAE_CS42_6DL_TGACv1_527575_AA1705830","TRIAE_CS42_6DL_TGACv1_527575_AA1705830")</f>
        <v>TRIAE_CS42_6DL_TGACv1_527575_AA1705830</v>
      </c>
      <c r="F44" s="9" t="str">
        <f>HYPERLINK("http://mar2016-plants.ensembl.org/Triticum_aestivum/Gene/Summary?db=core;g=Traes_6DL_BDDF27A65","Traes_6DL_BDDF27A65")</f>
        <v>Traes_6DL_BDDF27A65</v>
      </c>
      <c r="G44" t="s">
        <v>1034</v>
      </c>
      <c r="H44" s="8" t="str">
        <f>HYPERLINK("http://plants.ensembl.org/Brachypodium_distachyon/Gene/Summary?g=Bradi1g15840","Bradi1g15840")</f>
        <v>Bradi1g15840</v>
      </c>
      <c r="I44" s="8" t="str">
        <f>HYPERLINK("http://plants.ensembl.org/Arabidopsis_thaliana/Gene/Summary?g=AT3G25780","AT3G25780")</f>
        <v>AT3G25780</v>
      </c>
      <c r="J44" s="9" t="str">
        <f>HYPERLINK("http://plants.ensembl.org/Oryza_sativa/Gene/Summary?db=otherfeatures;g=LOC_Os03g32314","LOC_Os03g32314")</f>
        <v>LOC_Os03g32314</v>
      </c>
      <c r="L44" s="6"/>
      <c r="M44" t="s">
        <v>973</v>
      </c>
      <c r="N44">
        <v>1</v>
      </c>
      <c r="O44" t="s">
        <v>973</v>
      </c>
      <c r="P44" t="s">
        <v>973</v>
      </c>
      <c r="S44" t="s">
        <v>973</v>
      </c>
      <c r="T44" s="6"/>
      <c r="U44" s="11">
        <v>10.00259203215386</v>
      </c>
      <c r="V44" s="11">
        <v>10.483745387073959</v>
      </c>
      <c r="W44" s="11">
        <v>9.4970456580437759</v>
      </c>
      <c r="X44" s="11">
        <v>9.8153902877703416</v>
      </c>
      <c r="Y44" s="11">
        <v>9.1399108729052898</v>
      </c>
      <c r="Z44" s="11">
        <v>9.1967534161358753</v>
      </c>
      <c r="AA44" s="11">
        <v>9.2727755632860873</v>
      </c>
      <c r="AB44" s="11">
        <v>9.1434611930997178</v>
      </c>
      <c r="AC44" s="11">
        <v>7.9174377228456683</v>
      </c>
      <c r="AD44" s="11">
        <v>7.953070802033178</v>
      </c>
      <c r="AE44" s="11">
        <v>8.3006965084679063</v>
      </c>
      <c r="AF44" s="11">
        <v>8.1703108373712414</v>
      </c>
      <c r="AG44" s="11">
        <v>8.1243550198370365</v>
      </c>
      <c r="AH44" s="11">
        <v>7.7217062236321627</v>
      </c>
      <c r="AI44" s="11">
        <v>8.0286146408682999</v>
      </c>
      <c r="AJ44" s="11">
        <v>7.8226600506345019</v>
      </c>
      <c r="AK44" s="6"/>
      <c r="AL44" t="s">
        <v>1077</v>
      </c>
      <c r="AM44">
        <v>1135</v>
      </c>
      <c r="AN44" s="6"/>
      <c r="AO44" s="20">
        <v>2.0935000000000001</v>
      </c>
      <c r="AP44" s="20">
        <v>2.4941</v>
      </c>
      <c r="AQ44" s="20">
        <v>1.1928000000000001</v>
      </c>
      <c r="AR44" s="20">
        <v>1.6351</v>
      </c>
      <c r="AS44" s="20">
        <v>1.0121</v>
      </c>
      <c r="AT44" s="20">
        <v>1.4726999999999999</v>
      </c>
      <c r="AU44" s="20">
        <v>1.2417</v>
      </c>
      <c r="AV44" s="20">
        <v>1.3181</v>
      </c>
      <c r="AW44" s="6"/>
      <c r="AX44" s="18">
        <v>8.5669999999999993E-12</v>
      </c>
      <c r="AY44" s="18">
        <v>3.0070000000000001E-15</v>
      </c>
      <c r="AZ44" s="18">
        <v>8.53E-5</v>
      </c>
      <c r="BA44" s="18">
        <v>7.6199999999999994E-8</v>
      </c>
      <c r="BB44" s="18">
        <v>8.5539999999999998E-4</v>
      </c>
      <c r="BC44" s="18">
        <v>1.4729999999999999E-6</v>
      </c>
      <c r="BD44" s="18">
        <v>4.4310000000000001E-5</v>
      </c>
      <c r="BE44" s="18">
        <v>1.575E-5</v>
      </c>
      <c r="BF44" s="13"/>
      <c r="BG44" t="s">
        <v>1131</v>
      </c>
      <c r="BH44" t="s">
        <v>1269</v>
      </c>
      <c r="BI44" t="s">
        <v>1113</v>
      </c>
      <c r="BJ44" t="s">
        <v>1114</v>
      </c>
      <c r="BK44" t="s">
        <v>1115</v>
      </c>
      <c r="BL44" t="s">
        <v>1116</v>
      </c>
      <c r="BM44" t="s">
        <v>1117</v>
      </c>
      <c r="BN44" s="13"/>
      <c r="BO44" t="s">
        <v>973</v>
      </c>
      <c r="BP44" t="s">
        <v>973</v>
      </c>
      <c r="BQ44" t="s">
        <v>973</v>
      </c>
      <c r="BR44" t="s">
        <v>973</v>
      </c>
    </row>
    <row r="45" spans="1:70" x14ac:dyDescent="0.25">
      <c r="A45" t="s">
        <v>470</v>
      </c>
      <c r="B45" t="s">
        <v>471</v>
      </c>
      <c r="C45" t="s">
        <v>472</v>
      </c>
      <c r="D45" s="6"/>
      <c r="E45" s="9" t="str">
        <f>HYPERLINK("http://plants.ensembl.org/Triticum_aestivum/Gene/Summary?g=TRIAE_CS42_4AS_TGACv1_307830_AA1023750","TRIAE_CS42_4AS_TGACv1_307830_AA1023750")</f>
        <v>TRIAE_CS42_4AS_TGACv1_307830_AA1023750</v>
      </c>
      <c r="F45" s="9" t="str">
        <f>HYPERLINK("http://mar2016-plants.ensembl.org/Triticum_aestivum/Gene/Summary?db=core;g=Traes_4AS_41FB87D39","Traes_4AS_41FB87D39")</f>
        <v>Traes_4AS_41FB87D39</v>
      </c>
      <c r="G45" t="s">
        <v>1005</v>
      </c>
      <c r="H45" s="8" t="str">
        <f>HYPERLINK("http://plants.ensembl.org/Brachypodium_distachyon/Gene/Summary?g=Bradi1g69330","Bradi1g69330")</f>
        <v>Bradi1g69330</v>
      </c>
      <c r="I45" s="1" t="s">
        <v>1051</v>
      </c>
      <c r="J45" s="9" t="str">
        <f>HYPERLINK("http://plants.ensembl.org/Oryza_sativa/Gene/Summary?db=otherfeatures;g=LOC_Os03g12500","LOC_Os03g12500")</f>
        <v>LOC_Os03g12500</v>
      </c>
      <c r="K45" s="9" t="str">
        <f>HYPERLINK("http://plants.ensembl.org/Zea_mays/Gene/Summary?db=otherfeatures;g=GRMZM2G002178","GRMZM2G002178")</f>
        <v>GRMZM2G002178</v>
      </c>
      <c r="L45" s="6"/>
      <c r="M45" t="s">
        <v>973</v>
      </c>
      <c r="N45">
        <v>1</v>
      </c>
      <c r="O45" t="s">
        <v>973</v>
      </c>
      <c r="P45" t="s">
        <v>973</v>
      </c>
      <c r="S45" t="s">
        <v>973</v>
      </c>
      <c r="T45" s="6"/>
      <c r="U45" s="11">
        <v>10.919136051738771</v>
      </c>
      <c r="V45" s="11">
        <v>11.413947282101372</v>
      </c>
      <c r="W45" s="11">
        <v>10.858461269403932</v>
      </c>
      <c r="X45" s="11">
        <v>10.138810587327255</v>
      </c>
      <c r="Y45" s="11">
        <v>10.441467018325923</v>
      </c>
      <c r="Z45" s="11">
        <v>10.013918473472074</v>
      </c>
      <c r="AA45" s="11">
        <v>11.148314042092093</v>
      </c>
      <c r="AB45" s="11">
        <v>9.8692580749241614</v>
      </c>
      <c r="AC45" s="11">
        <v>9.0609391520898956</v>
      </c>
      <c r="AD45" s="11">
        <v>8.5656931289423657</v>
      </c>
      <c r="AE45" s="11">
        <v>10.129631797832506</v>
      </c>
      <c r="AF45" s="11">
        <v>8.9292428225140483</v>
      </c>
      <c r="AG45" s="11">
        <v>10.016143696513469</v>
      </c>
      <c r="AH45" s="11">
        <v>8.5918180235615367</v>
      </c>
      <c r="AI45" s="11">
        <v>9.9718437967838671</v>
      </c>
      <c r="AJ45" s="11">
        <v>8.5041698770864151</v>
      </c>
      <c r="AK45" s="6"/>
      <c r="AL45" t="s">
        <v>1077</v>
      </c>
      <c r="AM45">
        <v>0</v>
      </c>
      <c r="AN45" s="6"/>
      <c r="AO45" s="20">
        <v>1.8339000000000001</v>
      </c>
      <c r="AP45" s="20">
        <v>2.8039000000000001</v>
      </c>
      <c r="AQ45" s="20">
        <v>0.71760000000000002</v>
      </c>
      <c r="AR45" s="20">
        <v>1.1909000000000001</v>
      </c>
      <c r="AS45" s="20">
        <v>0.41860000000000003</v>
      </c>
      <c r="AT45" s="20">
        <v>1.4014</v>
      </c>
      <c r="AU45" s="20">
        <v>1.1585000000000001</v>
      </c>
      <c r="AV45" s="20">
        <v>1.345</v>
      </c>
      <c r="AW45" s="6"/>
      <c r="AX45" s="18">
        <v>1.276E-3</v>
      </c>
      <c r="AY45" s="18">
        <v>1.015E-6</v>
      </c>
      <c r="AZ45" s="18">
        <v>0.20660000000000001</v>
      </c>
      <c r="BA45" s="18">
        <v>3.6380000000000003E-2</v>
      </c>
      <c r="BB45" s="18">
        <v>0.46129999999999999</v>
      </c>
      <c r="BC45" s="18">
        <v>1.384E-2</v>
      </c>
      <c r="BD45" s="18">
        <v>4.1450000000000001E-2</v>
      </c>
      <c r="BE45" s="18">
        <v>1.8149999999999999E-2</v>
      </c>
      <c r="BF45" s="13"/>
      <c r="BG45" t="s">
        <v>1191</v>
      </c>
      <c r="BH45" t="s">
        <v>1155</v>
      </c>
      <c r="BI45" t="s">
        <v>1113</v>
      </c>
      <c r="BJ45" t="s">
        <v>1114</v>
      </c>
      <c r="BK45" t="s">
        <v>1115</v>
      </c>
      <c r="BL45" t="s">
        <v>1116</v>
      </c>
      <c r="BM45" t="s">
        <v>1117</v>
      </c>
      <c r="BN45" s="13"/>
      <c r="BO45" t="s">
        <v>973</v>
      </c>
      <c r="BP45" t="s">
        <v>973</v>
      </c>
      <c r="BQ45" t="s">
        <v>973</v>
      </c>
      <c r="BR45" t="s">
        <v>973</v>
      </c>
    </row>
    <row r="46" spans="1:70" x14ac:dyDescent="0.25">
      <c r="A46" t="s">
        <v>758</v>
      </c>
      <c r="B46" t="s">
        <v>759</v>
      </c>
      <c r="C46" t="s">
        <v>472</v>
      </c>
      <c r="D46" s="6"/>
      <c r="E46" s="9" t="str">
        <f>HYPERLINK("http://plants.ensembl.org/Triticum_aestivum/Gene/Summary?g=TRIAE_CS42_6AS_TGACv1_488396_AA1575340","TRIAE_CS42_6AS_TGACv1_488396_AA1575340")</f>
        <v>TRIAE_CS42_6AS_TGACv1_488396_AA1575340</v>
      </c>
      <c r="F46" s="9" t="str">
        <f>HYPERLINK("http://mar2016-plants.ensembl.org/Triticum_aestivum/Gene/Summary?db=core;g=Traes_6AS_0F0809F96","Traes_6AS_0F0809F96")</f>
        <v>Traes_6AS_0F0809F96</v>
      </c>
      <c r="G46" t="s">
        <v>1026</v>
      </c>
      <c r="H46" s="8" t="str">
        <f>HYPERLINK("http://plants.ensembl.org/Brachypodium_distachyon/Gene/Summary?g=Bradi3g01110","Bradi3g01110")</f>
        <v>Bradi3g01110</v>
      </c>
      <c r="I46" s="8" t="str">
        <f>HYPERLINK("http://plants.ensembl.org/Arabidopsis_thaliana/Gene/Summary?g=AT4G15440","AT4G15440")</f>
        <v>AT4G15440</v>
      </c>
      <c r="J46" s="9" t="str">
        <f>HYPERLINK("http://plants.ensembl.org/Oryza_sativa/Gene/Summary?db=otherfeatures;g=LOC_Os02g02000","LOC_Os02g02000")</f>
        <v>LOC_Os02g02000</v>
      </c>
      <c r="L46" s="6"/>
      <c r="M46" t="s">
        <v>973</v>
      </c>
      <c r="N46" t="s">
        <v>973</v>
      </c>
      <c r="O46" t="s">
        <v>973</v>
      </c>
      <c r="P46">
        <v>1</v>
      </c>
      <c r="S46" t="s">
        <v>973</v>
      </c>
      <c r="T46" s="6"/>
      <c r="U46" s="11">
        <v>4.3674968765906517</v>
      </c>
      <c r="V46" s="11">
        <v>4.8068894060613054</v>
      </c>
      <c r="W46" s="11">
        <v>4.7216479010374695</v>
      </c>
      <c r="X46" s="11">
        <v>4.3864132080272995</v>
      </c>
      <c r="Y46" s="11">
        <v>4.833606965103832</v>
      </c>
      <c r="Z46" s="11">
        <v>4.6934999672510189</v>
      </c>
      <c r="AA46" s="11">
        <v>6.140640977067739</v>
      </c>
      <c r="AB46" s="11">
        <v>3.9356168955687361</v>
      </c>
      <c r="AC46" s="11">
        <v>5.1920810392457817</v>
      </c>
      <c r="AD46" s="11">
        <v>6.8346231596459814</v>
      </c>
      <c r="AE46" s="11">
        <v>5.2355049718521558</v>
      </c>
      <c r="AF46" s="11">
        <v>4.5566419515490866</v>
      </c>
      <c r="AG46" s="11">
        <v>5.7003426103991011</v>
      </c>
      <c r="AH46" s="11">
        <v>5.5445142365512279</v>
      </c>
      <c r="AI46" s="11">
        <v>5.1720260652002157</v>
      </c>
      <c r="AJ46" s="11">
        <v>4.815723994210674</v>
      </c>
      <c r="AK46" s="6"/>
      <c r="AL46" t="s">
        <v>1074</v>
      </c>
      <c r="AM46">
        <v>0</v>
      </c>
      <c r="AN46" s="6"/>
      <c r="AO46" s="20">
        <v>-0.77</v>
      </c>
      <c r="AP46" s="20">
        <v>-2.3290000000000002</v>
      </c>
      <c r="AQ46" s="20">
        <v>-0.51829999999999998</v>
      </c>
      <c r="AR46" s="20">
        <v>-0.19239999999999999</v>
      </c>
      <c r="AS46" s="20">
        <v>-0.873</v>
      </c>
      <c r="AT46" s="20">
        <v>-0.84689999999999999</v>
      </c>
      <c r="AU46" s="20">
        <v>0.96789999999999998</v>
      </c>
      <c r="AV46" s="20">
        <v>-0.90800000000000003</v>
      </c>
      <c r="AW46" s="6"/>
      <c r="AX46" s="18">
        <v>0.2452</v>
      </c>
      <c r="AY46" s="18">
        <v>8.9930000000000001E-4</v>
      </c>
      <c r="AZ46" s="18">
        <v>0.40529999999999999</v>
      </c>
      <c r="BA46" s="18">
        <v>0.76300000000000001</v>
      </c>
      <c r="BB46" s="18">
        <v>0.1583</v>
      </c>
      <c r="BC46" s="18">
        <v>0.17369999999999999</v>
      </c>
      <c r="BD46" s="18">
        <v>0.11409999999999999</v>
      </c>
      <c r="BE46" s="18">
        <v>0.15859999999999999</v>
      </c>
      <c r="BF46" s="13"/>
      <c r="BG46" t="s">
        <v>1128</v>
      </c>
      <c r="BH46" t="s">
        <v>1112</v>
      </c>
      <c r="BI46" t="s">
        <v>1150</v>
      </c>
      <c r="BJ46" t="s">
        <v>1114</v>
      </c>
      <c r="BK46" t="s">
        <v>1151</v>
      </c>
      <c r="BL46" t="s">
        <v>1116</v>
      </c>
      <c r="BM46" t="s">
        <v>1117</v>
      </c>
      <c r="BN46" s="13"/>
      <c r="BO46" t="s">
        <v>973</v>
      </c>
      <c r="BP46" t="s">
        <v>973</v>
      </c>
      <c r="BQ46" t="s">
        <v>973</v>
      </c>
      <c r="BR46" t="s">
        <v>973</v>
      </c>
    </row>
    <row r="47" spans="1:70" x14ac:dyDescent="0.25">
      <c r="A47" t="s">
        <v>398</v>
      </c>
      <c r="B47" t="s">
        <v>396</v>
      </c>
      <c r="C47" t="s">
        <v>397</v>
      </c>
      <c r="D47" s="6"/>
      <c r="E47" s="9" t="str">
        <f>HYPERLINK("http://plants.ensembl.org/Triticum_aestivum/Gene/Summary?g=TRIAE_CS42_U_TGACv1_642459_AA2117910","TRIAE_CS42_U_TGACv1_642459_AA2117910")</f>
        <v>TRIAE_CS42_U_TGACv1_642459_AA2117910</v>
      </c>
      <c r="F47" s="9" t="str">
        <f>HYPERLINK("http://mar2016-plants.ensembl.org/Triticum_aestivum/Gene/Summary?db=core;g=TRAES3BF136000080CFD","TRAES3BF136000080CFD")</f>
        <v>TRAES3BF136000080CFD</v>
      </c>
      <c r="G47" t="s">
        <v>1025</v>
      </c>
      <c r="H47" s="1" t="s">
        <v>1051</v>
      </c>
      <c r="I47" s="8" t="str">
        <f>HYPERLINK("http://plants.ensembl.org/Arabidopsis_thaliana/Gene/Summary?g=AT3G01420","AT3G01420")</f>
        <v>AT3G01420</v>
      </c>
      <c r="J47" s="9" t="str">
        <f>HYPERLINK("http://plants.ensembl.org/Oryza_sativa/Gene/Summary?g=OS12G0448900","OS12G0448900")</f>
        <v>OS12G0448900</v>
      </c>
      <c r="K47" s="9" t="str">
        <f>HYPERLINK("http://plants.ensembl.org/Zea_mays/Gene/Summary?db=otherfeatures;g=GRMZM2G312997","GRMZM2G312997")</f>
        <v>GRMZM2G312997</v>
      </c>
      <c r="L47" s="6"/>
      <c r="M47">
        <v>1</v>
      </c>
      <c r="N47" t="s">
        <v>973</v>
      </c>
      <c r="O47" t="s">
        <v>973</v>
      </c>
      <c r="P47" t="s">
        <v>973</v>
      </c>
      <c r="S47">
        <v>1</v>
      </c>
      <c r="T47" s="6"/>
      <c r="U47" s="11">
        <v>11.935040644335684</v>
      </c>
      <c r="V47" s="11">
        <v>12.249505388919975</v>
      </c>
      <c r="W47" s="11">
        <v>10.038253577911815</v>
      </c>
      <c r="X47" s="11">
        <v>10.420059723881497</v>
      </c>
      <c r="Y47" s="11">
        <v>10.245774480794179</v>
      </c>
      <c r="Z47" s="11">
        <v>10.168600378515254</v>
      </c>
      <c r="AA47" s="11">
        <v>8.0278768844222057</v>
      </c>
      <c r="AB47" s="11">
        <v>9.9264471263453089</v>
      </c>
      <c r="AC47" s="11">
        <v>5.0937601610276229</v>
      </c>
      <c r="AD47" s="11">
        <v>3.0589860185816717</v>
      </c>
      <c r="AE47" s="11">
        <v>4.2822173785536162</v>
      </c>
      <c r="AF47" s="11">
        <v>4.0788403605846675</v>
      </c>
      <c r="AG47" s="11">
        <v>3.9034175384706931</v>
      </c>
      <c r="AH47" s="11">
        <v>2.3887773351462682</v>
      </c>
      <c r="AI47" s="11">
        <v>3.8526747339156131</v>
      </c>
      <c r="AJ47" s="11">
        <v>3.1337991335401352</v>
      </c>
      <c r="AK47" s="6"/>
      <c r="AL47" t="s">
        <v>1077</v>
      </c>
      <c r="AM47">
        <v>1466</v>
      </c>
      <c r="AN47" s="6"/>
      <c r="AO47" s="20">
        <v>6.8205999999999998</v>
      </c>
      <c r="AP47" s="20">
        <v>9.2705000000000002</v>
      </c>
      <c r="AQ47" s="20">
        <v>5.7476000000000003</v>
      </c>
      <c r="AR47" s="20">
        <v>6.3623000000000003</v>
      </c>
      <c r="AS47" s="20">
        <v>6.3738000000000001</v>
      </c>
      <c r="AT47" s="20">
        <v>7.9282000000000004</v>
      </c>
      <c r="AU47" s="20">
        <v>4.2114000000000003</v>
      </c>
      <c r="AV47" s="20">
        <v>6.8598999999999997</v>
      </c>
      <c r="AW47" s="6"/>
      <c r="AX47" s="18">
        <v>1.9760000000000001E-41</v>
      </c>
      <c r="AY47" s="18">
        <v>2.5069999999999998E-50</v>
      </c>
      <c r="AZ47" s="18">
        <v>6.2710000000000006E-29</v>
      </c>
      <c r="BA47" s="18">
        <v>4.6589999999999997E-34</v>
      </c>
      <c r="BB47" s="18">
        <v>1.6120000000000001E-35</v>
      </c>
      <c r="BC47" s="18">
        <v>1.962E-39</v>
      </c>
      <c r="BD47" s="18">
        <v>9.8829999999999991E-16</v>
      </c>
      <c r="BE47" s="18">
        <v>4.5219999999999998E-36</v>
      </c>
      <c r="BF47" s="13"/>
      <c r="BG47" t="s">
        <v>1131</v>
      </c>
      <c r="BH47" t="s">
        <v>1132</v>
      </c>
      <c r="BI47" t="s">
        <v>1113</v>
      </c>
      <c r="BJ47" t="s">
        <v>1133</v>
      </c>
      <c r="BK47" t="s">
        <v>1115</v>
      </c>
      <c r="BL47" t="s">
        <v>1149</v>
      </c>
      <c r="BM47" t="s">
        <v>1117</v>
      </c>
      <c r="BN47" s="13"/>
      <c r="BO47" t="s">
        <v>973</v>
      </c>
      <c r="BP47" t="s">
        <v>973</v>
      </c>
      <c r="BQ47" t="s">
        <v>973</v>
      </c>
      <c r="BR47" t="s">
        <v>973</v>
      </c>
    </row>
    <row r="48" spans="1:70" x14ac:dyDescent="0.25">
      <c r="A48" t="s">
        <v>476</v>
      </c>
      <c r="B48" t="s">
        <v>477</v>
      </c>
      <c r="C48" t="s">
        <v>397</v>
      </c>
      <c r="D48" s="6"/>
      <c r="E48" s="9" t="str">
        <f>HYPERLINK("http://plants.ensembl.org/Triticum_aestivum/Gene/Summary?g=TRIAE_CS42_4AS_TGACv1_306835_AA1013950","TRIAE_CS42_4AS_TGACv1_306835_AA1013950")</f>
        <v>TRIAE_CS42_4AS_TGACv1_306835_AA1013950</v>
      </c>
      <c r="F48" s="9" t="str">
        <f>HYPERLINK("http://mar2016-plants.ensembl.org/Triticum_aestivum/Gene/Summary?db=core;g=Traes_4AS_1843B1EFB","Traes_4AS_1843B1EFB")</f>
        <v>Traes_4AS_1843B1EFB</v>
      </c>
      <c r="G48" t="s">
        <v>1025</v>
      </c>
      <c r="H48" s="1" t="s">
        <v>1051</v>
      </c>
      <c r="I48" s="1" t="s">
        <v>1051</v>
      </c>
      <c r="J48" s="9" t="str">
        <f>HYPERLINK("http://plants.ensembl.org/Oryza_sativa/Gene/Summary?g=OS12G0448900","OS12G0448900")</f>
        <v>OS12G0448900</v>
      </c>
      <c r="K48" s="9" t="str">
        <f>HYPERLINK("http://plants.ensembl.org/Zea_mays/Gene/Summary?db=otherfeatures;g=GRMZM2G312997","GRMZM2G312997")</f>
        <v>GRMZM2G312997</v>
      </c>
      <c r="L48" s="6"/>
      <c r="M48">
        <v>1</v>
      </c>
      <c r="N48" t="s">
        <v>973</v>
      </c>
      <c r="O48" t="s">
        <v>973</v>
      </c>
      <c r="P48" t="s">
        <v>973</v>
      </c>
      <c r="S48">
        <v>1</v>
      </c>
      <c r="T48" s="6"/>
      <c r="U48" s="11">
        <v>4.967483739867979</v>
      </c>
      <c r="V48" s="11">
        <v>5.8567965041156764</v>
      </c>
      <c r="W48" s="11">
        <v>5.2575651041341249</v>
      </c>
      <c r="X48" s="11">
        <v>5.1617936489094181</v>
      </c>
      <c r="Y48" s="11">
        <v>5.6892628131099405</v>
      </c>
      <c r="Z48" s="11">
        <v>4.9290397929485685</v>
      </c>
      <c r="AA48" s="11">
        <v>3.174784567710792</v>
      </c>
      <c r="AB48" s="11">
        <v>3.9634648759001108</v>
      </c>
      <c r="AC48" s="11">
        <v>0.89695637711363463</v>
      </c>
      <c r="AD48" s="11">
        <v>1.8686999333438297</v>
      </c>
      <c r="AE48" s="11">
        <v>5.2805320021266251</v>
      </c>
      <c r="AF48" s="11">
        <v>5.6422240597103208</v>
      </c>
      <c r="AG48" s="11">
        <v>6.661213258192511</v>
      </c>
      <c r="AH48" s="11">
        <v>5.7816753231878675</v>
      </c>
      <c r="AI48" s="11">
        <v>0</v>
      </c>
      <c r="AJ48" s="11">
        <v>1.6124783211243701</v>
      </c>
      <c r="AK48" s="6"/>
      <c r="AL48" t="s">
        <v>1100</v>
      </c>
      <c r="AM48">
        <v>0</v>
      </c>
      <c r="AN48" s="6"/>
      <c r="AO48" s="20">
        <v>4.9000000000000004</v>
      </c>
      <c r="AP48" s="20">
        <v>3.9769000000000001</v>
      </c>
      <c r="AQ48" s="20">
        <v>-2.52E-2</v>
      </c>
      <c r="AR48" s="20">
        <v>-0.47049999999999997</v>
      </c>
      <c r="AS48" s="20">
        <v>-0.97919999999999996</v>
      </c>
      <c r="AT48" s="20">
        <v>-0.85599999999999998</v>
      </c>
      <c r="AU48" s="20">
        <v>4.9847000000000001</v>
      </c>
      <c r="AV48" s="20">
        <v>2.7246999999999999</v>
      </c>
      <c r="AW48" s="6"/>
      <c r="AX48" s="18">
        <v>1.249E-8</v>
      </c>
      <c r="AY48" s="18">
        <v>1.6449999999999998E-8</v>
      </c>
      <c r="AZ48" s="18">
        <v>0.95730000000000004</v>
      </c>
      <c r="BA48" s="18">
        <v>0.31890000000000002</v>
      </c>
      <c r="BB48" s="18">
        <v>3.245E-2</v>
      </c>
      <c r="BC48" s="18">
        <v>6.9680000000000006E-2</v>
      </c>
      <c r="BD48" s="18">
        <v>1.1759999999999999E-5</v>
      </c>
      <c r="BE48" s="18">
        <v>5.9379999999999997E-5</v>
      </c>
      <c r="BF48" s="13"/>
      <c r="BG48" t="s">
        <v>1111</v>
      </c>
      <c r="BH48" t="s">
        <v>1112</v>
      </c>
      <c r="BI48" t="s">
        <v>1172</v>
      </c>
      <c r="BJ48" t="s">
        <v>1114</v>
      </c>
      <c r="BK48" t="s">
        <v>1115</v>
      </c>
      <c r="BL48" t="s">
        <v>1116</v>
      </c>
      <c r="BM48" t="s">
        <v>1174</v>
      </c>
      <c r="BN48" s="13"/>
      <c r="BO48" t="s">
        <v>973</v>
      </c>
      <c r="BP48" t="s">
        <v>973</v>
      </c>
      <c r="BQ48" t="s">
        <v>973</v>
      </c>
      <c r="BR48" t="s">
        <v>973</v>
      </c>
    </row>
    <row r="49" spans="1:70" x14ac:dyDescent="0.25">
      <c r="A49" t="s">
        <v>728</v>
      </c>
      <c r="B49" t="s">
        <v>396</v>
      </c>
      <c r="C49" t="s">
        <v>397</v>
      </c>
      <c r="D49" s="6"/>
      <c r="E49" s="9" t="str">
        <f>HYPERLINK("http://plants.ensembl.org/Triticum_aestivum/Gene/Summary?g=TRIAE_CS42_5DL_TGACv1_434097_AA1429100","TRIAE_CS42_5DL_TGACv1_434097_AA1429100")</f>
        <v>TRIAE_CS42_5DL_TGACv1_434097_AA1429100</v>
      </c>
      <c r="F49" s="9" t="str">
        <f>HYPERLINK("http://mar2016-plants.ensembl.org/Triticum_aestivum/Gene/Summary?db=core;g=Traes_5DL_BC355967A","Traes_5DL_BC355967A")</f>
        <v>Traes_5DL_BC355967A</v>
      </c>
      <c r="G49" t="s">
        <v>1025</v>
      </c>
      <c r="H49" s="1" t="s">
        <v>1051</v>
      </c>
      <c r="I49" s="8" t="str">
        <f>HYPERLINK("http://plants.ensembl.org/Arabidopsis_thaliana/Gene/Summary?g=AT3G01420","AT3G01420")</f>
        <v>AT3G01420</v>
      </c>
      <c r="J49" s="9" t="str">
        <f>HYPERLINK("http://plants.ensembl.org/Oryza_sativa/Gene/Summary?g=OS12G0448900","OS12G0448900")</f>
        <v>OS12G0448900</v>
      </c>
      <c r="K49" s="9" t="str">
        <f>HYPERLINK("http://plants.ensembl.org/Zea_mays/Gene/Summary?db=otherfeatures;g=GRMZM2G312997","GRMZM2G312997")</f>
        <v>GRMZM2G312997</v>
      </c>
      <c r="L49" s="6"/>
      <c r="M49">
        <v>1</v>
      </c>
      <c r="N49">
        <v>1</v>
      </c>
      <c r="O49" t="s">
        <v>973</v>
      </c>
      <c r="P49" t="s">
        <v>973</v>
      </c>
      <c r="S49">
        <v>1</v>
      </c>
      <c r="T49" s="6"/>
      <c r="U49" s="11">
        <v>8.5655441196872868</v>
      </c>
      <c r="V49" s="11">
        <v>9.5688991262141911</v>
      </c>
      <c r="W49" s="11">
        <v>7.0378635525759368</v>
      </c>
      <c r="X49" s="11">
        <v>7.8686779179900554</v>
      </c>
      <c r="Y49" s="11">
        <v>6.7378746564176035</v>
      </c>
      <c r="Z49" s="11">
        <v>6.5969778661945337</v>
      </c>
      <c r="AA49" s="11">
        <v>5.1748750957669234</v>
      </c>
      <c r="AB49" s="11">
        <v>7.7590756966488312</v>
      </c>
      <c r="AC49" s="11">
        <v>2.9954784887915893</v>
      </c>
      <c r="AD49" s="11">
        <v>7.3047738570475103</v>
      </c>
      <c r="AE49" s="11">
        <v>4.0602895423690875</v>
      </c>
      <c r="AF49" s="11">
        <v>6.4445312446498724</v>
      </c>
      <c r="AG49" s="11">
        <v>3.602591486162789</v>
      </c>
      <c r="AH49" s="11">
        <v>5.7225188494587531</v>
      </c>
      <c r="AI49" s="11">
        <v>3.3617917492269687</v>
      </c>
      <c r="AJ49" s="11">
        <v>6.002145164647672</v>
      </c>
      <c r="AK49" s="6"/>
      <c r="AL49" t="s">
        <v>1104</v>
      </c>
      <c r="AM49">
        <v>0</v>
      </c>
      <c r="AN49" s="6"/>
      <c r="AO49" s="20">
        <v>5.694</v>
      </c>
      <c r="AP49" s="20">
        <v>2.2631000000000001</v>
      </c>
      <c r="AQ49" s="20">
        <v>2.9977</v>
      </c>
      <c r="AR49" s="20">
        <v>1.4060999999999999</v>
      </c>
      <c r="AS49" s="20">
        <v>3.2042999999999999</v>
      </c>
      <c r="AT49" s="20">
        <v>0.8629</v>
      </c>
      <c r="AU49" s="20">
        <v>1.8898999999999999</v>
      </c>
      <c r="AV49" s="20">
        <v>1.7444999999999999</v>
      </c>
      <c r="AW49" s="6"/>
      <c r="AX49" s="18">
        <v>6.5040000000000002E-19</v>
      </c>
      <c r="AY49" s="18">
        <v>1.064E-4</v>
      </c>
      <c r="AZ49" s="18">
        <v>5.6440000000000005E-7</v>
      </c>
      <c r="BA49" s="18">
        <v>1.472E-2</v>
      </c>
      <c r="BB49" s="18">
        <v>9.1189999999999998E-8</v>
      </c>
      <c r="BC49" s="18">
        <v>0.13869999999999999</v>
      </c>
      <c r="BD49" s="18">
        <v>2.369E-3</v>
      </c>
      <c r="BE49" s="18">
        <v>2.5330000000000001E-3</v>
      </c>
      <c r="BF49" s="13"/>
      <c r="BG49" t="s">
        <v>1187</v>
      </c>
      <c r="BH49" t="s">
        <v>1132</v>
      </c>
      <c r="BI49" t="s">
        <v>1254</v>
      </c>
      <c r="BJ49" t="s">
        <v>1133</v>
      </c>
      <c r="BK49" t="s">
        <v>1151</v>
      </c>
      <c r="BL49" t="s">
        <v>1149</v>
      </c>
      <c r="BM49" t="s">
        <v>1117</v>
      </c>
      <c r="BN49" s="13"/>
      <c r="BO49" t="s">
        <v>973</v>
      </c>
      <c r="BP49" t="s">
        <v>973</v>
      </c>
      <c r="BQ49" t="s">
        <v>973</v>
      </c>
      <c r="BR49" t="s">
        <v>973</v>
      </c>
    </row>
    <row r="50" spans="1:70" x14ac:dyDescent="0.25">
      <c r="A50" t="s">
        <v>297</v>
      </c>
      <c r="B50" t="s">
        <v>298</v>
      </c>
      <c r="C50" t="s">
        <v>10</v>
      </c>
      <c r="D50" s="6"/>
      <c r="E50" s="9" t="str">
        <f>HYPERLINK("http://plants.ensembl.org/Triticum_aestivum/Gene/Summary?g=TRIAE_CS42_3AS_TGACv1_211341_AA0688770","TRIAE_CS42_3AS_TGACv1_211341_AA0688770")</f>
        <v>TRIAE_CS42_3AS_TGACv1_211341_AA0688770</v>
      </c>
      <c r="F50" s="9" t="str">
        <f>HYPERLINK("http://mar2016-plants.ensembl.org/Triticum_aestivum/Gene/Summary?db=core;g=Traes_3AS_860783913","Traes_3AS_860783913")</f>
        <v>Traes_3AS_860783913</v>
      </c>
      <c r="G50" t="s">
        <v>995</v>
      </c>
      <c r="H50" s="8" t="str">
        <f>HYPERLINK("http://plants.ensembl.org/Brachypodium_distachyon/Gene/Summary?g=Bradi2g04860","Bradi2g04860")</f>
        <v>Bradi2g04860</v>
      </c>
      <c r="I50" s="8" t="str">
        <f>HYPERLINK("http://plants.ensembl.org/Arabidopsis_thaliana/Gene/Summary?g=AT1G80360","AT1G80360")</f>
        <v>AT1G80360</v>
      </c>
      <c r="J50" s="9" t="str">
        <f>HYPERLINK("http://plants.ensembl.org/Oryza_sativa/Gene/Summary?db=otherfeatures;g=LOC_Os01g08270","LOC_Os01g08270")</f>
        <v>LOC_Os01g08270</v>
      </c>
      <c r="K50" s="9" t="str">
        <f>HYPERLINK("http://plants.ensembl.org/Zea_mays/Gene/Summary?db=otherfeatures;g=GRMZM2G107639","GRMZM2G107639")</f>
        <v>GRMZM2G107639</v>
      </c>
      <c r="L50" s="6"/>
      <c r="M50" t="s">
        <v>973</v>
      </c>
      <c r="N50" t="s">
        <v>973</v>
      </c>
      <c r="O50" t="s">
        <v>973</v>
      </c>
      <c r="P50">
        <v>1</v>
      </c>
      <c r="S50" t="s">
        <v>973</v>
      </c>
      <c r="T50" s="6"/>
      <c r="U50" s="11">
        <v>11.746211768526315</v>
      </c>
      <c r="V50" s="11">
        <v>11.473045005657978</v>
      </c>
      <c r="W50" s="11">
        <v>10.690267476378066</v>
      </c>
      <c r="X50" s="11">
        <v>10.967751332132504</v>
      </c>
      <c r="Y50" s="11">
        <v>11.355435838503421</v>
      </c>
      <c r="Z50" s="11">
        <v>11.220786549809795</v>
      </c>
      <c r="AA50" s="11">
        <v>10.685081675659635</v>
      </c>
      <c r="AB50" s="11">
        <v>10.877329614898745</v>
      </c>
      <c r="AC50" s="11">
        <v>9.7244358045040329</v>
      </c>
      <c r="AD50" s="11">
        <v>10.143334017802893</v>
      </c>
      <c r="AE50" s="11">
        <v>9.937759517279023</v>
      </c>
      <c r="AF50" s="11">
        <v>10.136147627812159</v>
      </c>
      <c r="AG50" s="11">
        <v>9.9687722318240137</v>
      </c>
      <c r="AH50" s="11">
        <v>10.070957688576998</v>
      </c>
      <c r="AI50" s="11">
        <v>9.7104860670368751</v>
      </c>
      <c r="AJ50" s="11">
        <v>10.41736443300176</v>
      </c>
      <c r="AK50" s="6"/>
      <c r="AL50" t="s">
        <v>1077</v>
      </c>
      <c r="AM50">
        <v>376</v>
      </c>
      <c r="AN50" s="6"/>
      <c r="AO50" s="20">
        <v>2.0217999999999998</v>
      </c>
      <c r="AP50" s="20">
        <v>1.3178000000000001</v>
      </c>
      <c r="AQ50" s="20">
        <v>0.75270000000000004</v>
      </c>
      <c r="AR50" s="20">
        <v>0.8306</v>
      </c>
      <c r="AS50" s="20">
        <v>1.3861000000000001</v>
      </c>
      <c r="AT50" s="20">
        <v>1.1483000000000001</v>
      </c>
      <c r="AU50" s="20">
        <v>0.97450000000000003</v>
      </c>
      <c r="AV50" s="20">
        <v>0.45939999999999998</v>
      </c>
      <c r="AW50" s="6"/>
      <c r="AX50" s="18">
        <v>2.024E-29</v>
      </c>
      <c r="AY50" s="18">
        <v>9.1100000000000006E-13</v>
      </c>
      <c r="AZ50" s="18">
        <v>2.4729999999999999E-5</v>
      </c>
      <c r="BA50" s="18">
        <v>3.2270000000000002E-6</v>
      </c>
      <c r="BB50" s="18">
        <v>6.2670000000000003E-15</v>
      </c>
      <c r="BC50" s="18">
        <v>1.1869999999999999E-10</v>
      </c>
      <c r="BD50" s="18">
        <v>4.8240000000000001E-8</v>
      </c>
      <c r="BE50" s="18">
        <v>9.8779999999999996E-3</v>
      </c>
      <c r="BF50" s="13"/>
      <c r="BG50" t="s">
        <v>1308</v>
      </c>
      <c r="BH50" t="s">
        <v>1307</v>
      </c>
      <c r="BI50" t="s">
        <v>1113</v>
      </c>
      <c r="BJ50" t="s">
        <v>1114</v>
      </c>
      <c r="BK50" t="s">
        <v>1115</v>
      </c>
      <c r="BL50" t="s">
        <v>1116</v>
      </c>
      <c r="BM50" t="s">
        <v>1117</v>
      </c>
      <c r="BN50" s="13"/>
      <c r="BO50" t="s">
        <v>973</v>
      </c>
      <c r="BP50" t="s">
        <v>973</v>
      </c>
      <c r="BQ50" t="s">
        <v>973</v>
      </c>
      <c r="BR50" t="s">
        <v>973</v>
      </c>
    </row>
    <row r="51" spans="1:70" x14ac:dyDescent="0.25">
      <c r="A51" t="s">
        <v>368</v>
      </c>
      <c r="B51" t="s">
        <v>298</v>
      </c>
      <c r="C51" t="s">
        <v>10</v>
      </c>
      <c r="D51" s="6"/>
      <c r="E51" s="9" t="str">
        <f>HYPERLINK("http://plants.ensembl.org/Triticum_aestivum/Gene/Summary?g=TRIAE_CS42_3B_TGACv1_222042_AA0755620","TRIAE_CS42_3B_TGACv1_222042_AA0755620")</f>
        <v>TRIAE_CS42_3B_TGACv1_222042_AA0755620</v>
      </c>
      <c r="F51" s="9" t="str">
        <f>HYPERLINK("http://mar2016-plants.ensembl.org/Triticum_aestivum/Gene/Summary?db=core;g=Traes_3B_29F91AA70","Traes_3B_29F91AA70")</f>
        <v>Traes_3B_29F91AA70</v>
      </c>
      <c r="G51" t="s">
        <v>995</v>
      </c>
      <c r="H51" s="8" t="str">
        <f>HYPERLINK("http://plants.ensembl.org/Brachypodium_distachyon/Gene/Summary?g=Bradi2g04860","Bradi2g04860")</f>
        <v>Bradi2g04860</v>
      </c>
      <c r="I51" s="8" t="str">
        <f>HYPERLINK("http://plants.ensembl.org/Arabidopsis_thaliana/Gene/Summary?g=AT1G80360","AT1G80360")</f>
        <v>AT1G80360</v>
      </c>
      <c r="J51" s="9" t="str">
        <f>HYPERLINK("http://plants.ensembl.org/Oryza_sativa/Gene/Summary?db=otherfeatures;g=LOC_Os01g08270","LOC_Os01g08270")</f>
        <v>LOC_Os01g08270</v>
      </c>
      <c r="K51" s="9" t="str">
        <f>HYPERLINK("http://plants.ensembl.org/Zea_mays/Gene/Summary?db=otherfeatures;g=GRMZM2G107639","GRMZM2G107639")</f>
        <v>GRMZM2G107639</v>
      </c>
      <c r="L51" s="6"/>
      <c r="M51" t="s">
        <v>973</v>
      </c>
      <c r="N51" t="s">
        <v>973</v>
      </c>
      <c r="O51" t="s">
        <v>973</v>
      </c>
      <c r="P51">
        <v>1</v>
      </c>
      <c r="S51" t="s">
        <v>973</v>
      </c>
      <c r="T51" s="6"/>
      <c r="U51" s="11">
        <v>11.715095212288366</v>
      </c>
      <c r="V51" s="11">
        <v>11.432922062726263</v>
      </c>
      <c r="W51" s="11">
        <v>10.214705285538937</v>
      </c>
      <c r="X51" s="11">
        <v>10.475706346409195</v>
      </c>
      <c r="Y51" s="11">
        <v>10.667480863769057</v>
      </c>
      <c r="Z51" s="11">
        <v>10.496080139020531</v>
      </c>
      <c r="AA51" s="11">
        <v>10.350193707006369</v>
      </c>
      <c r="AB51" s="11">
        <v>10.904643426822281</v>
      </c>
      <c r="AC51" s="11">
        <v>8.9798417708385099</v>
      </c>
      <c r="AD51" s="11">
        <v>9.8752932576859465</v>
      </c>
      <c r="AE51" s="11">
        <v>8.8697734428388202</v>
      </c>
      <c r="AF51" s="11">
        <v>9.1132806381524425</v>
      </c>
      <c r="AG51" s="11">
        <v>8.7076934212424018</v>
      </c>
      <c r="AH51" s="11">
        <v>9.0331739040580619</v>
      </c>
      <c r="AI51" s="11">
        <v>9.0510067772101479</v>
      </c>
      <c r="AJ51" s="11">
        <v>9.8686189686830836</v>
      </c>
      <c r="AK51" s="6"/>
      <c r="AL51" t="s">
        <v>1077</v>
      </c>
      <c r="AM51">
        <v>137</v>
      </c>
      <c r="AN51" s="6"/>
      <c r="AO51" s="20">
        <v>2.7357</v>
      </c>
      <c r="AP51" s="20">
        <v>1.5527</v>
      </c>
      <c r="AQ51" s="20">
        <v>1.3438000000000001</v>
      </c>
      <c r="AR51" s="20">
        <v>1.3607</v>
      </c>
      <c r="AS51" s="20">
        <v>1.9582999999999999</v>
      </c>
      <c r="AT51" s="20">
        <v>1.4599</v>
      </c>
      <c r="AU51" s="20">
        <v>1.2992999999999999</v>
      </c>
      <c r="AV51" s="20">
        <v>1.0347</v>
      </c>
      <c r="AW51" s="6"/>
      <c r="AX51" s="18">
        <v>8.1810000000000007E-43</v>
      </c>
      <c r="AY51" s="18">
        <v>2.469E-14</v>
      </c>
      <c r="AZ51" s="18">
        <v>1.4649999999999999E-11</v>
      </c>
      <c r="BA51" s="18">
        <v>7.7639999999999996E-12</v>
      </c>
      <c r="BB51" s="18">
        <v>5.0759999999999999E-23</v>
      </c>
      <c r="BC51" s="18">
        <v>2.14E-13</v>
      </c>
      <c r="BD51" s="18">
        <v>5.7519999999999999E-11</v>
      </c>
      <c r="BE51" s="18">
        <v>1.5550000000000001E-7</v>
      </c>
      <c r="BF51" s="13"/>
      <c r="BG51" t="s">
        <v>1131</v>
      </c>
      <c r="BH51" t="s">
        <v>1147</v>
      </c>
      <c r="BI51" t="s">
        <v>1113</v>
      </c>
      <c r="BJ51" t="s">
        <v>1114</v>
      </c>
      <c r="BK51" t="s">
        <v>1115</v>
      </c>
      <c r="BL51" t="s">
        <v>1116</v>
      </c>
      <c r="BM51" t="s">
        <v>1117</v>
      </c>
      <c r="BN51" s="13"/>
      <c r="BO51" t="s">
        <v>973</v>
      </c>
      <c r="BP51" t="s">
        <v>973</v>
      </c>
      <c r="BQ51" t="s">
        <v>973</v>
      </c>
      <c r="BR51" t="s">
        <v>973</v>
      </c>
    </row>
    <row r="52" spans="1:70" x14ac:dyDescent="0.25">
      <c r="A52" t="s">
        <v>189</v>
      </c>
      <c r="B52" t="s">
        <v>190</v>
      </c>
      <c r="C52" t="s">
        <v>191</v>
      </c>
      <c r="D52" s="6"/>
      <c r="E52" s="9" t="str">
        <f>HYPERLINK("http://plants.ensembl.org/Triticum_aestivum/Gene/Summary?g=TRIAE_CS42_2AL_TGACv1_095065_AA0306520","TRIAE_CS42_2AL_TGACv1_095065_AA0306520")</f>
        <v>TRIAE_CS42_2AL_TGACv1_095065_AA0306520</v>
      </c>
      <c r="F52" s="9" t="str">
        <f>HYPERLINK("http://mar2016-plants.ensembl.org/Triticum_aestivum/Gene/Summary?db=core;g=Traes_2AL_F5ECBE772","Traes_2AL_F5ECBE772")</f>
        <v>Traes_2AL_F5ECBE772</v>
      </c>
      <c r="H52" s="8" t="str">
        <f>HYPERLINK("http://plants.ensembl.org/Brachypodium_distachyon/Gene/Summary?g=Bradi5g25970","Bradi5g25970")</f>
        <v>Bradi5g25970</v>
      </c>
      <c r="I52" s="8" t="str">
        <f>HYPERLINK("http://plants.ensembl.org/Arabidopsis_thaliana/Gene/Summary?g=AT5G18400","AT5G18400")</f>
        <v>AT5G18400</v>
      </c>
      <c r="J52" s="9" t="str">
        <f>HYPERLINK("http://plants.ensembl.org/Oryza_sativa/Gene/Summary?db=otherfeatures;g=LOC_Os04g57810","LOC_Os04g57810")</f>
        <v>LOC_Os04g57810</v>
      </c>
      <c r="L52" s="6"/>
      <c r="M52" s="1" t="s">
        <v>973</v>
      </c>
      <c r="N52" s="1" t="s">
        <v>973</v>
      </c>
      <c r="O52" s="1" t="s">
        <v>973</v>
      </c>
      <c r="P52" s="1" t="s">
        <v>973</v>
      </c>
      <c r="Q52" s="1">
        <v>1</v>
      </c>
      <c r="R52" s="1" t="s">
        <v>973</v>
      </c>
      <c r="S52" s="1"/>
      <c r="T52" s="6"/>
      <c r="U52" s="11">
        <v>9.29223933317774</v>
      </c>
      <c r="V52" s="11">
        <v>10.114403206406982</v>
      </c>
      <c r="W52" s="11">
        <v>8.3946434667639309</v>
      </c>
      <c r="X52" s="11">
        <v>8.6700321854364386</v>
      </c>
      <c r="Y52" s="11">
        <v>9.1102088823809932</v>
      </c>
      <c r="Z52" s="11">
        <v>9.2121539400682035</v>
      </c>
      <c r="AA52" s="11">
        <v>8.5771823151009237</v>
      </c>
      <c r="AB52" s="11">
        <v>8.4549413539646583</v>
      </c>
      <c r="AC52" s="11">
        <v>8.3650443533280789</v>
      </c>
      <c r="AD52" s="11">
        <v>8.7335242721266333</v>
      </c>
      <c r="AE52" s="11">
        <v>7.9811273188884906</v>
      </c>
      <c r="AF52" s="11">
        <v>8.1785086646940801</v>
      </c>
      <c r="AG52" s="11">
        <v>8.1838073864490521</v>
      </c>
      <c r="AH52" s="11">
        <v>8.6938917149035699</v>
      </c>
      <c r="AI52" s="11">
        <v>7.6759810188701749</v>
      </c>
      <c r="AJ52" s="11">
        <v>8.0284779863714775</v>
      </c>
      <c r="AK52" s="6"/>
      <c r="AL52" t="s">
        <v>1077</v>
      </c>
      <c r="AM52">
        <v>0</v>
      </c>
      <c r="AN52" s="6"/>
      <c r="AO52" s="20">
        <v>0.94899999999999995</v>
      </c>
      <c r="AP52" s="20">
        <v>1.4490000000000001</v>
      </c>
      <c r="AQ52" s="20">
        <v>0.41649999999999998</v>
      </c>
      <c r="AR52" s="20">
        <v>0.48959999999999998</v>
      </c>
      <c r="AS52" s="20">
        <v>0.92879999999999996</v>
      </c>
      <c r="AT52" s="20">
        <v>0.51849999999999996</v>
      </c>
      <c r="AU52" s="20">
        <v>0.90690000000000004</v>
      </c>
      <c r="AV52" s="20">
        <v>0.4279</v>
      </c>
      <c r="AW52" s="6"/>
      <c r="AX52" s="18">
        <v>4.3569999999999997E-9</v>
      </c>
      <c r="AY52" s="18">
        <v>1.2210000000000001E-17</v>
      </c>
      <c r="AZ52" s="18">
        <v>9.0449999999999992E-3</v>
      </c>
      <c r="BA52" s="18">
        <v>2.0920000000000001E-3</v>
      </c>
      <c r="BB52" s="18">
        <v>2.2870000000000001E-9</v>
      </c>
      <c r="BC52" s="18">
        <v>8.4590000000000002E-4</v>
      </c>
      <c r="BD52" s="18">
        <v>1.365E-8</v>
      </c>
      <c r="BE52" s="18">
        <v>7.5290000000000001E-3</v>
      </c>
      <c r="BF52" s="13"/>
      <c r="BG52" t="s">
        <v>1125</v>
      </c>
      <c r="BH52" t="s">
        <v>1175</v>
      </c>
      <c r="BI52" t="s">
        <v>1113</v>
      </c>
      <c r="BJ52" t="s">
        <v>1114</v>
      </c>
      <c r="BK52" t="s">
        <v>1115</v>
      </c>
      <c r="BL52" t="s">
        <v>1116</v>
      </c>
      <c r="BM52" t="s">
        <v>1117</v>
      </c>
      <c r="BN52" s="13"/>
      <c r="BO52" t="s">
        <v>973</v>
      </c>
      <c r="BP52" t="s">
        <v>973</v>
      </c>
      <c r="BQ52" t="s">
        <v>973</v>
      </c>
      <c r="BR52" t="s">
        <v>973</v>
      </c>
    </row>
    <row r="53" spans="1:70" x14ac:dyDescent="0.25">
      <c r="A53" t="s">
        <v>244</v>
      </c>
      <c r="B53" t="s">
        <v>245</v>
      </c>
      <c r="C53" t="s">
        <v>191</v>
      </c>
      <c r="D53" s="6"/>
      <c r="E53" s="9" t="str">
        <f>HYPERLINK("http://plants.ensembl.org/Triticum_aestivum/Gene/Summary?g=TRIAE_CS42_2BL_TGACv1_130464_AA0411960","TRIAE_CS42_2BL_TGACv1_130464_AA0411960")</f>
        <v>TRIAE_CS42_2BL_TGACv1_130464_AA0411960</v>
      </c>
      <c r="F53" s="9" t="str">
        <f>HYPERLINK("http://mar2016-plants.ensembl.org/Triticum_aestivum/Gene/Summary?db=core;g=Traes_2BL_EF53DC3FD","Traes_2BL_EF53DC3FD")</f>
        <v>Traes_2BL_EF53DC3FD</v>
      </c>
      <c r="H53" s="8" t="str">
        <f>HYPERLINK("http://plants.ensembl.org/Brachypodium_distachyon/Gene/Summary?g=Bradi5g25970","Bradi5g25970")</f>
        <v>Bradi5g25970</v>
      </c>
      <c r="I53" s="8" t="str">
        <f>HYPERLINK("http://plants.ensembl.org/Arabidopsis_thaliana/Gene/Summary?g=AT5G18400","AT5G18400")</f>
        <v>AT5G18400</v>
      </c>
      <c r="J53" s="9" t="str">
        <f>HYPERLINK("http://plants.ensembl.org/Oryza_sativa/Gene/Summary?db=otherfeatures;g=LOC_Os04g57810","LOC_Os04g57810")</f>
        <v>LOC_Os04g57810</v>
      </c>
      <c r="L53" s="6"/>
      <c r="M53" s="1" t="s">
        <v>973</v>
      </c>
      <c r="N53" s="1" t="s">
        <v>973</v>
      </c>
      <c r="O53" s="1" t="s">
        <v>973</v>
      </c>
      <c r="P53" s="1" t="s">
        <v>973</v>
      </c>
      <c r="Q53" s="1">
        <v>1</v>
      </c>
      <c r="R53" s="1" t="s">
        <v>973</v>
      </c>
      <c r="S53" s="1"/>
      <c r="T53" s="6"/>
      <c r="U53" s="11">
        <v>8.7624681936309745</v>
      </c>
      <c r="V53" s="11">
        <v>9.3699930608020789</v>
      </c>
      <c r="W53" s="11">
        <v>8.3445637064464666</v>
      </c>
      <c r="X53" s="11">
        <v>8.5140610942867561</v>
      </c>
      <c r="Y53" s="11">
        <v>8.108651296853127</v>
      </c>
      <c r="Z53" s="11">
        <v>8.2378657777358786</v>
      </c>
      <c r="AA53" s="11">
        <v>8.6454327947912422</v>
      </c>
      <c r="AB53" s="11">
        <v>8.1072406189266939</v>
      </c>
      <c r="AC53" s="11">
        <v>7.4802629674903685</v>
      </c>
      <c r="AD53" s="11">
        <v>7.658671119776213</v>
      </c>
      <c r="AE53" s="11">
        <v>7.9030866886276261</v>
      </c>
      <c r="AF53" s="11">
        <v>7.6877843745577614</v>
      </c>
      <c r="AG53" s="11">
        <v>7.3583895215804001</v>
      </c>
      <c r="AH53" s="11">
        <v>7.4776503469299982</v>
      </c>
      <c r="AI53" s="11">
        <v>7.5999406051235301</v>
      </c>
      <c r="AJ53" s="11">
        <v>7.6957389163249452</v>
      </c>
      <c r="AK53" s="6"/>
      <c r="AL53" t="s">
        <v>1077</v>
      </c>
      <c r="AM53">
        <v>47</v>
      </c>
      <c r="AN53" s="6"/>
      <c r="AO53" s="20">
        <v>1.3191999999999999</v>
      </c>
      <c r="AP53" s="20">
        <v>1.7589999999999999</v>
      </c>
      <c r="AQ53" s="20">
        <v>0.44740000000000002</v>
      </c>
      <c r="AR53" s="20">
        <v>0.82579999999999998</v>
      </c>
      <c r="AS53" s="20">
        <v>0.75539999999999996</v>
      </c>
      <c r="AT53" s="20">
        <v>0.76400000000000001</v>
      </c>
      <c r="AU53" s="20">
        <v>1.0505</v>
      </c>
      <c r="AV53" s="20">
        <v>0.41149999999999998</v>
      </c>
      <c r="AW53" s="6"/>
      <c r="AX53" s="18">
        <v>2.2199999999999999E-13</v>
      </c>
      <c r="AY53" s="18">
        <v>9.072E-20</v>
      </c>
      <c r="AZ53" s="18">
        <v>8.7980000000000003E-3</v>
      </c>
      <c r="BA53" s="18">
        <v>1.765E-6</v>
      </c>
      <c r="BB53" s="18">
        <v>1.216E-5</v>
      </c>
      <c r="BC53" s="18">
        <v>1.2269999999999999E-5</v>
      </c>
      <c r="BD53" s="18">
        <v>7.49E-10</v>
      </c>
      <c r="BE53" s="18">
        <v>1.787E-2</v>
      </c>
      <c r="BF53" s="13"/>
      <c r="BG53" t="s">
        <v>1310</v>
      </c>
      <c r="BH53" t="s">
        <v>1269</v>
      </c>
      <c r="BI53" t="s">
        <v>1113</v>
      </c>
      <c r="BJ53" t="s">
        <v>1114</v>
      </c>
      <c r="BK53" t="s">
        <v>1115</v>
      </c>
      <c r="BL53" t="s">
        <v>1116</v>
      </c>
      <c r="BM53" t="s">
        <v>1117</v>
      </c>
      <c r="BN53" s="13"/>
      <c r="BO53" t="s">
        <v>973</v>
      </c>
      <c r="BP53" t="s">
        <v>973</v>
      </c>
      <c r="BQ53" t="s">
        <v>973</v>
      </c>
      <c r="BR53" t="s">
        <v>973</v>
      </c>
    </row>
    <row r="54" spans="1:70" x14ac:dyDescent="0.25">
      <c r="A54" t="s">
        <v>286</v>
      </c>
      <c r="B54" t="s">
        <v>287</v>
      </c>
      <c r="C54" t="s">
        <v>191</v>
      </c>
      <c r="D54" s="6"/>
      <c r="E54" s="9" t="str">
        <f>HYPERLINK("http://plants.ensembl.org/Triticum_aestivum/Gene/Summary?g=TRIAE_CS42_2DL_TGACv1_160368_AA0549810","TRIAE_CS42_2DL_TGACv1_160368_AA0549810")</f>
        <v>TRIAE_CS42_2DL_TGACv1_160368_AA0549810</v>
      </c>
      <c r="F54" s="9" t="str">
        <f>HYPERLINK("http://mar2016-plants.ensembl.org/Triticum_aestivum/Gene/Summary?db=core;g=Traes_2DL_3FD7FF551","Traes_2DL_3FD7FF551")</f>
        <v>Traes_2DL_3FD7FF551</v>
      </c>
      <c r="H54" s="1" t="s">
        <v>1051</v>
      </c>
      <c r="I54" s="1" t="s">
        <v>1051</v>
      </c>
      <c r="J54" s="1" t="s">
        <v>1051</v>
      </c>
      <c r="L54" s="6"/>
      <c r="M54" s="1" t="s">
        <v>973</v>
      </c>
      <c r="N54" s="1" t="s">
        <v>973</v>
      </c>
      <c r="O54" s="1" t="s">
        <v>973</v>
      </c>
      <c r="P54" s="1" t="s">
        <v>973</v>
      </c>
      <c r="Q54" s="1">
        <v>1</v>
      </c>
      <c r="R54" s="1" t="s">
        <v>973</v>
      </c>
      <c r="S54" s="1"/>
      <c r="T54" s="6"/>
      <c r="U54" s="11">
        <v>9.6525052574801737</v>
      </c>
      <c r="V54" s="11">
        <v>10.19367081362509</v>
      </c>
      <c r="W54" s="11">
        <v>9.5002933719674996</v>
      </c>
      <c r="X54" s="11">
        <v>9.8497033052962593</v>
      </c>
      <c r="Y54" s="11">
        <v>10.058305490597181</v>
      </c>
      <c r="Z54" s="11">
        <v>10.08980514143048</v>
      </c>
      <c r="AA54" s="11">
        <v>9.5011544130335359</v>
      </c>
      <c r="AB54" s="11">
        <v>9.6275435510443472</v>
      </c>
      <c r="AC54" s="11">
        <v>8.2974372261623763</v>
      </c>
      <c r="AD54" s="11">
        <v>8.338886548728734</v>
      </c>
      <c r="AE54" s="11">
        <v>8.9322061873255247</v>
      </c>
      <c r="AF54" s="11">
        <v>8.9779531195128897</v>
      </c>
      <c r="AG54" s="11">
        <v>8.8229308623111713</v>
      </c>
      <c r="AH54" s="11">
        <v>9.2844701773108493</v>
      </c>
      <c r="AI54" s="11">
        <v>8.7979066010931071</v>
      </c>
      <c r="AJ54" s="11">
        <v>8.9346765038538436</v>
      </c>
      <c r="AK54" s="6"/>
      <c r="AL54" t="s">
        <v>1077</v>
      </c>
      <c r="AM54">
        <v>97</v>
      </c>
      <c r="AN54" s="6"/>
      <c r="AO54" s="20">
        <v>1.3727</v>
      </c>
      <c r="AP54" s="20">
        <v>1.8507</v>
      </c>
      <c r="AQ54" s="20">
        <v>0.56920000000000004</v>
      </c>
      <c r="AR54" s="20">
        <v>0.87150000000000005</v>
      </c>
      <c r="AS54" s="20">
        <v>1.2362</v>
      </c>
      <c r="AT54" s="20">
        <v>0.80600000000000005</v>
      </c>
      <c r="AU54" s="20">
        <v>0.70430000000000004</v>
      </c>
      <c r="AV54" s="20">
        <v>0.69279999999999997</v>
      </c>
      <c r="AW54" s="6"/>
      <c r="AX54" s="18">
        <v>1.5739999999999999E-13</v>
      </c>
      <c r="AY54" s="18">
        <v>4.4030000000000003E-21</v>
      </c>
      <c r="AZ54" s="18">
        <v>1.567E-3</v>
      </c>
      <c r="BA54" s="18">
        <v>1.305E-6</v>
      </c>
      <c r="BB54" s="18">
        <v>4.7400000000000004E-12</v>
      </c>
      <c r="BC54" s="18">
        <v>6.7360000000000004E-6</v>
      </c>
      <c r="BD54" s="18">
        <v>9.0649999999999994E-5</v>
      </c>
      <c r="BE54" s="18">
        <v>1.206E-4</v>
      </c>
      <c r="BF54" s="13"/>
      <c r="BG54" t="s">
        <v>1143</v>
      </c>
      <c r="BH54" t="s">
        <v>1112</v>
      </c>
      <c r="BI54" t="s">
        <v>1113</v>
      </c>
      <c r="BJ54" t="s">
        <v>1114</v>
      </c>
      <c r="BK54" t="s">
        <v>1115</v>
      </c>
      <c r="BL54" t="s">
        <v>1116</v>
      </c>
      <c r="BM54" t="s">
        <v>1117</v>
      </c>
      <c r="BN54" s="13"/>
      <c r="BO54" t="s">
        <v>973</v>
      </c>
      <c r="BP54" t="s">
        <v>973</v>
      </c>
      <c r="BQ54" t="s">
        <v>973</v>
      </c>
      <c r="BR54" t="s">
        <v>973</v>
      </c>
    </row>
    <row r="55" spans="1:70" x14ac:dyDescent="0.25">
      <c r="A55" t="s">
        <v>474</v>
      </c>
      <c r="B55" t="s">
        <v>475</v>
      </c>
      <c r="C55" t="s">
        <v>161</v>
      </c>
      <c r="D55" s="6"/>
      <c r="E55" s="9" t="str">
        <f>HYPERLINK("http://plants.ensembl.org/Triticum_aestivum/Gene/Summary?g=TRIAE_CS42_4AS_TGACv1_307865_AA1024140","TRIAE_CS42_4AS_TGACv1_307865_AA1024140")</f>
        <v>TRIAE_CS42_4AS_TGACv1_307865_AA1024140</v>
      </c>
      <c r="F55" s="9" t="str">
        <f>HYPERLINK("http://mar2016-plants.ensembl.org/Triticum_aestivum/Gene/Summary?db=core;g=Traes_4AS_F71C13C9B","Traes_4AS_F71C13C9B")</f>
        <v>Traes_4AS_F71C13C9B</v>
      </c>
      <c r="G55" t="s">
        <v>1006</v>
      </c>
      <c r="H55" s="8" t="str">
        <f>HYPERLINK("http://plants.ensembl.org/Brachypodium_distachyon/Gene/Summary?g=Bradi1g67240","Bradi1g67240")</f>
        <v>Bradi1g67240</v>
      </c>
      <c r="I55" s="8" t="str">
        <f>HYPERLINK("http://plants.ensembl.org/Arabidopsis_thaliana/Gene/Summary?g=AT2G29690","AT2G29690")</f>
        <v>AT2G29690</v>
      </c>
      <c r="J55" s="9" t="str">
        <f>HYPERLINK("http://plants.ensembl.org/Oryza_sativa/Gene/Summary?db=otherfeatures;g=LOC_Os03g15780","LOC_Os03g15780")</f>
        <v>LOC_Os03g15780</v>
      </c>
      <c r="K55" s="9" t="str">
        <f>HYPERLINK("http://plants.ensembl.org/Zea_mays/Gene/Summary?db=otherfeatures;g=GRMZM2G161337","GRMZM2G161337")</f>
        <v>GRMZM2G161337</v>
      </c>
      <c r="L55" s="6"/>
      <c r="M55" t="s">
        <v>973</v>
      </c>
      <c r="N55" t="s">
        <v>973</v>
      </c>
      <c r="O55" t="s">
        <v>973</v>
      </c>
      <c r="P55">
        <v>1</v>
      </c>
      <c r="S55" t="s">
        <v>973</v>
      </c>
      <c r="T55" s="6"/>
      <c r="U55" s="11">
        <v>13.51032114357829</v>
      </c>
      <c r="V55" s="11">
        <v>13.680836137827601</v>
      </c>
      <c r="W55" s="11">
        <v>11.400209651222658</v>
      </c>
      <c r="X55" s="11">
        <v>11.371103084265178</v>
      </c>
      <c r="Y55" s="11">
        <v>11.459256035655313</v>
      </c>
      <c r="Z55" s="11">
        <v>11.595171495381313</v>
      </c>
      <c r="AA55" s="11">
        <v>9.9241769544326406</v>
      </c>
      <c r="AB55" s="11">
        <v>11.466906329033947</v>
      </c>
      <c r="AC55" s="11">
        <v>7.9371515255241922</v>
      </c>
      <c r="AD55" s="11">
        <v>7.6041197686182231</v>
      </c>
      <c r="AE55" s="11">
        <v>7.0760830207159486</v>
      </c>
      <c r="AF55" s="11">
        <v>7.1034941427652196</v>
      </c>
      <c r="AG55" s="11">
        <v>7.1331189166915276</v>
      </c>
      <c r="AH55" s="11">
        <v>7.2145703966390462</v>
      </c>
      <c r="AI55" s="11">
        <v>7.343903737504772</v>
      </c>
      <c r="AJ55" s="11">
        <v>7.2096798249813103</v>
      </c>
      <c r="AK55" s="6"/>
      <c r="AL55" t="s">
        <v>1077</v>
      </c>
      <c r="AM55">
        <v>2922</v>
      </c>
      <c r="AN55" s="6"/>
      <c r="AO55" s="20">
        <v>5.5499000000000001</v>
      </c>
      <c r="AP55" s="20">
        <v>6.0757000000000003</v>
      </c>
      <c r="AQ55" s="20">
        <v>4.3089000000000004</v>
      </c>
      <c r="AR55" s="20">
        <v>4.2542</v>
      </c>
      <c r="AS55" s="20">
        <v>4.3114999999999997</v>
      </c>
      <c r="AT55" s="20">
        <v>4.3650000000000002</v>
      </c>
      <c r="AU55" s="20">
        <v>2.5724999999999998</v>
      </c>
      <c r="AV55" s="20">
        <v>4.242</v>
      </c>
      <c r="AW55" s="6"/>
      <c r="AX55" s="18">
        <v>3.7889999999999998E-60</v>
      </c>
      <c r="AY55" s="18">
        <v>2.2330000000000001E-67</v>
      </c>
      <c r="AZ55" s="18">
        <v>1.641E-36</v>
      </c>
      <c r="BA55" s="18">
        <v>1.677E-35</v>
      </c>
      <c r="BB55" s="18">
        <v>5.7379999999999997E-37</v>
      </c>
      <c r="BC55" s="18">
        <v>2.1079999999999998E-37</v>
      </c>
      <c r="BD55" s="18">
        <v>4.279E-14</v>
      </c>
      <c r="BE55" s="18">
        <v>1.3970000000000001E-35</v>
      </c>
      <c r="BF55" s="13"/>
      <c r="BG55" t="s">
        <v>1131</v>
      </c>
      <c r="BH55" t="s">
        <v>1132</v>
      </c>
      <c r="BI55" t="s">
        <v>1113</v>
      </c>
      <c r="BJ55" t="s">
        <v>1133</v>
      </c>
      <c r="BK55" t="s">
        <v>1115</v>
      </c>
      <c r="BL55" t="s">
        <v>1149</v>
      </c>
      <c r="BM55" t="s">
        <v>1117</v>
      </c>
      <c r="BN55" s="13"/>
      <c r="BO55" t="s">
        <v>973</v>
      </c>
      <c r="BP55" t="s">
        <v>973</v>
      </c>
      <c r="BQ55" t="s">
        <v>973</v>
      </c>
      <c r="BR55" t="s">
        <v>973</v>
      </c>
    </row>
    <row r="56" spans="1:70" x14ac:dyDescent="0.25">
      <c r="A56" t="s">
        <v>581</v>
      </c>
      <c r="B56" t="s">
        <v>475</v>
      </c>
      <c r="C56" t="s">
        <v>161</v>
      </c>
      <c r="D56" s="6"/>
      <c r="E56" s="9" t="str">
        <f>HYPERLINK("http://plants.ensembl.org/Triticum_aestivum/Gene/Summary?g=TRIAE_CS42_4DL_TGACv1_344617_AA1148430","TRIAE_CS42_4DL_TGACv1_344617_AA1148430")</f>
        <v>TRIAE_CS42_4DL_TGACv1_344617_AA1148430</v>
      </c>
      <c r="F56" s="9" t="str">
        <f>HYPERLINK("http://mar2016-plants.ensembl.org/Triticum_aestivum/Gene/Summary?db=core;g=Traes_4DL_A7ECE81A1","Traes_4DL_A7ECE81A1")</f>
        <v>Traes_4DL_A7ECE81A1</v>
      </c>
      <c r="G56" t="s">
        <v>1006</v>
      </c>
      <c r="H56" s="8" t="str">
        <f>HYPERLINK("http://plants.ensembl.org/Brachypodium_distachyon/Gene/Summary?g=Bradi1g67240","Bradi1g67240")</f>
        <v>Bradi1g67240</v>
      </c>
      <c r="I56" s="1" t="s">
        <v>1051</v>
      </c>
      <c r="J56" s="9" t="str">
        <f>HYPERLINK("http://plants.ensembl.org/Oryza_sativa/Gene/Summary?db=otherfeatures;g=LOC_Os03g15780","LOC_Os03g15780")</f>
        <v>LOC_Os03g15780</v>
      </c>
      <c r="K56" s="9" t="str">
        <f>HYPERLINK("http://plants.ensembl.org/Zea_mays/Gene/Summary?db=otherfeatures;g=GRMZM2G161337","GRMZM2G161337")</f>
        <v>GRMZM2G161337</v>
      </c>
      <c r="L56" s="6"/>
      <c r="M56" t="s">
        <v>973</v>
      </c>
      <c r="N56" t="s">
        <v>973</v>
      </c>
      <c r="O56" t="s">
        <v>973</v>
      </c>
      <c r="P56">
        <v>1</v>
      </c>
      <c r="S56" t="s">
        <v>973</v>
      </c>
      <c r="T56" s="6"/>
      <c r="U56" s="11">
        <v>13.923521339183814</v>
      </c>
      <c r="V56" s="11">
        <v>14.480887809809976</v>
      </c>
      <c r="W56" s="11">
        <v>11.797381848252892</v>
      </c>
      <c r="X56" s="11">
        <v>12.007382989669628</v>
      </c>
      <c r="Y56" s="11">
        <v>11.897500216390291</v>
      </c>
      <c r="Z56" s="11">
        <v>12.045755782798087</v>
      </c>
      <c r="AA56" s="11">
        <v>10.483180260443863</v>
      </c>
      <c r="AB56" s="11">
        <v>11.866882394655766</v>
      </c>
      <c r="AC56" s="11">
        <v>8.2841298976533775</v>
      </c>
      <c r="AD56" s="11">
        <v>7.9206323349981975</v>
      </c>
      <c r="AE56" s="11">
        <v>7.4833482360810271</v>
      </c>
      <c r="AF56" s="11">
        <v>7.5890530983495097</v>
      </c>
      <c r="AG56" s="11">
        <v>7.5211203775112185</v>
      </c>
      <c r="AH56" s="11">
        <v>7.8722215591591809</v>
      </c>
      <c r="AI56" s="11">
        <v>7.7502036158316674</v>
      </c>
      <c r="AJ56" s="11">
        <v>7.8228813766006819</v>
      </c>
      <c r="AK56" s="6"/>
      <c r="AL56" t="s">
        <v>1077</v>
      </c>
      <c r="AM56" s="12">
        <v>4447</v>
      </c>
      <c r="AN56" s="6"/>
      <c r="AO56" s="20">
        <v>5.6105</v>
      </c>
      <c r="AP56" s="20">
        <v>6.5082000000000004</v>
      </c>
      <c r="AQ56" s="20">
        <v>4.2952000000000004</v>
      </c>
      <c r="AR56" s="20">
        <v>4.3979999999999997</v>
      </c>
      <c r="AS56" s="20">
        <v>4.3571999999999997</v>
      </c>
      <c r="AT56" s="20">
        <v>4.1543000000000001</v>
      </c>
      <c r="AU56" s="20">
        <v>2.722</v>
      </c>
      <c r="AV56" s="20">
        <v>4.0251999999999999</v>
      </c>
      <c r="AW56" s="6"/>
      <c r="AX56" s="18">
        <v>2.7409999999999997E-57</v>
      </c>
      <c r="AY56" s="18">
        <v>6.7700000000000001E-73</v>
      </c>
      <c r="AZ56" s="18">
        <v>4.9429999999999996E-34</v>
      </c>
      <c r="BA56" s="18">
        <v>1.4680000000000001E-35</v>
      </c>
      <c r="BB56" s="18">
        <v>3.0420000000000002E-35</v>
      </c>
      <c r="BC56" s="18">
        <v>4.6959999999999999E-32</v>
      </c>
      <c r="BD56" s="18">
        <v>1.151E-14</v>
      </c>
      <c r="BE56" s="18">
        <v>2.9359999999999999E-30</v>
      </c>
      <c r="BF56" s="13"/>
      <c r="BG56" t="s">
        <v>1131</v>
      </c>
      <c r="BH56" t="s">
        <v>1132</v>
      </c>
      <c r="BI56" t="s">
        <v>1113</v>
      </c>
      <c r="BJ56" t="s">
        <v>1133</v>
      </c>
      <c r="BK56" t="s">
        <v>1115</v>
      </c>
      <c r="BL56" t="s">
        <v>1149</v>
      </c>
      <c r="BM56" t="s">
        <v>1117</v>
      </c>
      <c r="BN56" s="13"/>
      <c r="BO56" t="s">
        <v>973</v>
      </c>
      <c r="BP56" t="s">
        <v>973</v>
      </c>
      <c r="BQ56" t="s">
        <v>973</v>
      </c>
      <c r="BR56" t="s">
        <v>973</v>
      </c>
    </row>
    <row r="57" spans="1:70" x14ac:dyDescent="0.25">
      <c r="A57" t="s">
        <v>711</v>
      </c>
      <c r="B57" t="s">
        <v>475</v>
      </c>
      <c r="C57" t="s">
        <v>161</v>
      </c>
      <c r="D57" s="6"/>
      <c r="E57" s="9" t="str">
        <f>HYPERLINK("http://plants.ensembl.org/Triticum_aestivum/Gene/Summary?g=TRIAE_CS42_5BL_TGACv1_404682_AA1308280","TRIAE_CS42_5BL_TGACv1_404682_AA1308280")</f>
        <v>TRIAE_CS42_5BL_TGACv1_404682_AA1308280</v>
      </c>
      <c r="F57" s="9" t="str">
        <f>HYPERLINK("http://mar2016-plants.ensembl.org/Triticum_aestivum/Gene/Summary?db=core;g=Traes_5BL_171EB1A01","Traes_5BL_171EB1A01")</f>
        <v>Traes_5BL_171EB1A01</v>
      </c>
      <c r="G57" t="s">
        <v>1024</v>
      </c>
      <c r="H57" s="8" t="str">
        <f>HYPERLINK("http://plants.ensembl.org/Brachypodium_distachyon/Gene/Summary?g=Bradi1g03260","Bradi1g03260")</f>
        <v>Bradi1g03260</v>
      </c>
      <c r="I57" s="8" t="str">
        <f>HYPERLINK("http://plants.ensembl.org/Arabidopsis_thaliana/Gene/Summary?g=AT5G05730","AT5G05730")</f>
        <v>AT5G05730</v>
      </c>
      <c r="J57" s="9" t="str">
        <f>HYPERLINK("http://plants.ensembl.org/Oryza_sativa/Gene/Summary?db=otherfeatures;g=LOC_Os03g61120","LOC_Os03g61120")</f>
        <v>LOC_Os03g61120</v>
      </c>
      <c r="K57" s="9" t="str">
        <f>HYPERLINK("http://plants.ensembl.org/Zea_mays/Gene/Summary?db=otherfeatures;g=GRMZM2G138382","GRMZM2G138382")</f>
        <v>GRMZM2G138382</v>
      </c>
      <c r="L57" s="6"/>
      <c r="M57" t="s">
        <v>973</v>
      </c>
      <c r="N57" t="s">
        <v>973</v>
      </c>
      <c r="O57" t="s">
        <v>973</v>
      </c>
      <c r="P57">
        <v>1</v>
      </c>
      <c r="S57" t="s">
        <v>973</v>
      </c>
      <c r="T57" s="6"/>
      <c r="U57" s="11">
        <v>6.6509473731392221</v>
      </c>
      <c r="V57" s="11">
        <v>5.9067855956485538</v>
      </c>
      <c r="W57" s="11">
        <v>7.059586737529151</v>
      </c>
      <c r="X57" s="11">
        <v>6.6004179449059759</v>
      </c>
      <c r="Y57" s="11">
        <v>6.8859009185581863</v>
      </c>
      <c r="Z57" s="11">
        <v>6.6908095647104977</v>
      </c>
      <c r="AA57" s="11">
        <v>7.5359808673317996</v>
      </c>
      <c r="AB57" s="11">
        <v>6.9791038937358012</v>
      </c>
      <c r="AC57" s="11">
        <v>7.6094742663943347</v>
      </c>
      <c r="AD57" s="11">
        <v>7.2305187861445583</v>
      </c>
      <c r="AE57" s="11">
        <v>7.7093984018267188</v>
      </c>
      <c r="AF57" s="11">
        <v>7.2566241751958511</v>
      </c>
      <c r="AG57" s="11">
        <v>7.6486298556412153</v>
      </c>
      <c r="AH57" s="11">
        <v>7.398700659799899</v>
      </c>
      <c r="AI57" s="11">
        <v>7.6380612835547952</v>
      </c>
      <c r="AJ57" s="11">
        <v>7.353473564069744</v>
      </c>
      <c r="AK57" s="6"/>
      <c r="AL57" t="s">
        <v>1079</v>
      </c>
      <c r="AM57">
        <v>0</v>
      </c>
      <c r="AN57" s="6"/>
      <c r="AO57" s="20">
        <v>-1.2430000000000001</v>
      </c>
      <c r="AP57" s="20">
        <v>-1.474</v>
      </c>
      <c r="AQ57" s="20">
        <v>-0.65359999999999996</v>
      </c>
      <c r="AR57" s="20">
        <v>-0.66849999999999998</v>
      </c>
      <c r="AS57" s="20">
        <v>-0.76690000000000003</v>
      </c>
      <c r="AT57" s="20">
        <v>-0.7077</v>
      </c>
      <c r="AU57" s="20">
        <v>-0.1045</v>
      </c>
      <c r="AV57" s="20">
        <v>-0.375</v>
      </c>
      <c r="AW57" s="6"/>
      <c r="AX57" s="18">
        <v>1.843E-10</v>
      </c>
      <c r="AY57" s="18">
        <v>1.8600000000000001E-8</v>
      </c>
      <c r="AZ57" s="18">
        <v>4.2849999999999998E-5</v>
      </c>
      <c r="BA57" s="18">
        <v>8.9790000000000006E-5</v>
      </c>
      <c r="BB57" s="18">
        <v>2.12E-6</v>
      </c>
      <c r="BC57" s="18">
        <v>2.2249999999999999E-5</v>
      </c>
      <c r="BD57" s="18">
        <v>0.50080000000000002</v>
      </c>
      <c r="BE57" s="18">
        <v>2.3699999999999999E-2</v>
      </c>
      <c r="BF57" s="13"/>
      <c r="BG57" t="s">
        <v>1164</v>
      </c>
      <c r="BH57" t="s">
        <v>1129</v>
      </c>
      <c r="BI57" t="s">
        <v>1113</v>
      </c>
      <c r="BJ57" t="s">
        <v>1114</v>
      </c>
      <c r="BK57" t="s">
        <v>1115</v>
      </c>
      <c r="BL57" t="s">
        <v>1116</v>
      </c>
      <c r="BM57" t="s">
        <v>1117</v>
      </c>
      <c r="BN57" s="13"/>
      <c r="BO57" t="s">
        <v>973</v>
      </c>
      <c r="BP57" t="s">
        <v>973</v>
      </c>
      <c r="BQ57" t="s">
        <v>973</v>
      </c>
      <c r="BR57" t="s">
        <v>973</v>
      </c>
    </row>
    <row r="58" spans="1:70" x14ac:dyDescent="0.25">
      <c r="A58" t="s">
        <v>180</v>
      </c>
      <c r="B58" t="s">
        <v>181</v>
      </c>
      <c r="C58" t="s">
        <v>182</v>
      </c>
      <c r="D58" s="6"/>
      <c r="E58" s="9" t="str">
        <f>HYPERLINK("http://plants.ensembl.org/Triticum_aestivum/Gene/Summary?g=TRIAE_CS42_2AL_TGACv1_097448_AA0324210","TRIAE_CS42_2AL_TGACv1_097448_AA0324210")</f>
        <v>TRIAE_CS42_2AL_TGACv1_097448_AA0324210</v>
      </c>
      <c r="F58" s="9" t="str">
        <f>HYPERLINK("http://mar2016-plants.ensembl.org/Triticum_aestivum/Gene/Summary?db=core;g=Traes_2AL_5BA7E2623","Traes_2AL_5BA7E2623")</f>
        <v>Traes_2AL_5BA7E2623</v>
      </c>
      <c r="H58" s="8" t="str">
        <f>HYPERLINK("http://plants.ensembl.org/Brachypodium_distachyon/Gene/Summary?g=Bradi5g24100","Bradi5g24100")</f>
        <v>Bradi5g24100</v>
      </c>
      <c r="I58" s="1" t="s">
        <v>1051</v>
      </c>
      <c r="J58" s="9" t="str">
        <f>HYPERLINK("http://plants.ensembl.org/Oryza_sativa/Gene/Summary?db=otherfeatures;g=LOC_Os04g55560","LOC_Os04g55560")</f>
        <v>LOC_Os04g55560</v>
      </c>
      <c r="L58" s="6"/>
      <c r="M58" s="1" t="s">
        <v>973</v>
      </c>
      <c r="N58" s="1" t="s">
        <v>973</v>
      </c>
      <c r="O58" s="1">
        <v>1</v>
      </c>
      <c r="P58" s="1" t="s">
        <v>973</v>
      </c>
      <c r="Q58" s="1" t="s">
        <v>973</v>
      </c>
      <c r="R58" s="1" t="s">
        <v>973</v>
      </c>
      <c r="S58" s="1"/>
      <c r="T58" s="6"/>
      <c r="U58" s="11">
        <v>6.7342318035960389</v>
      </c>
      <c r="V58" s="11">
        <v>7.5973404708263192</v>
      </c>
      <c r="W58" s="11">
        <v>6.967634748406824</v>
      </c>
      <c r="X58" s="11">
        <v>7.0948275689779594</v>
      </c>
      <c r="Y58" s="11">
        <v>6.8619400672628466</v>
      </c>
      <c r="Z58" s="11">
        <v>6.5658966908177208</v>
      </c>
      <c r="AA58" s="11">
        <v>7.398266561888156</v>
      </c>
      <c r="AB58" s="11">
        <v>6.7953634880212324</v>
      </c>
      <c r="AC58" s="11">
        <v>6.246715900292557</v>
      </c>
      <c r="AD58" s="11">
        <v>7.0370461104702144</v>
      </c>
      <c r="AE58" s="11">
        <v>6.4817461619423336</v>
      </c>
      <c r="AF58" s="11">
        <v>5.9526030368840646</v>
      </c>
      <c r="AG58" s="11">
        <v>6.8306144994294478</v>
      </c>
      <c r="AH58" s="11">
        <v>5.4503523840659334</v>
      </c>
      <c r="AI58" s="11">
        <v>6.3304950596433773</v>
      </c>
      <c r="AJ58" s="11">
        <v>5.6778389511691438</v>
      </c>
      <c r="AK58" s="6"/>
      <c r="AL58" t="s">
        <v>1077</v>
      </c>
      <c r="AM58">
        <v>0</v>
      </c>
      <c r="AN58" s="6"/>
      <c r="AO58" s="20">
        <v>0.53349999999999997</v>
      </c>
      <c r="AP58" s="20">
        <v>0.63080000000000003</v>
      </c>
      <c r="AQ58" s="20">
        <v>0.48449999999999999</v>
      </c>
      <c r="AR58" s="20">
        <v>1.1271</v>
      </c>
      <c r="AS58" s="20">
        <v>3.0200000000000001E-2</v>
      </c>
      <c r="AT58" s="20">
        <v>1.1264000000000001</v>
      </c>
      <c r="AU58" s="20">
        <v>1.0649999999999999</v>
      </c>
      <c r="AV58" s="20">
        <v>1.1211</v>
      </c>
      <c r="AW58" s="6"/>
      <c r="AX58" s="18">
        <v>0.245</v>
      </c>
      <c r="AY58" s="18">
        <v>0.17810000000000001</v>
      </c>
      <c r="AZ58" s="18">
        <v>0.27610000000000001</v>
      </c>
      <c r="BA58" s="18">
        <v>1.209E-2</v>
      </c>
      <c r="BB58" s="18">
        <v>0.94569999999999999</v>
      </c>
      <c r="BC58" s="18">
        <v>1.336E-2</v>
      </c>
      <c r="BD58" s="18">
        <v>1.6379999999999999E-2</v>
      </c>
      <c r="BE58" s="18">
        <v>1.299E-2</v>
      </c>
      <c r="BF58" s="13"/>
      <c r="BG58" t="s">
        <v>1111</v>
      </c>
      <c r="BH58" t="s">
        <v>1112</v>
      </c>
      <c r="BI58" t="s">
        <v>1292</v>
      </c>
      <c r="BJ58" t="s">
        <v>1114</v>
      </c>
      <c r="BK58" t="s">
        <v>1208</v>
      </c>
      <c r="BL58" t="s">
        <v>1116</v>
      </c>
      <c r="BM58" t="s">
        <v>1117</v>
      </c>
      <c r="BN58" s="13"/>
      <c r="BO58" t="s">
        <v>973</v>
      </c>
      <c r="BP58" t="s">
        <v>973</v>
      </c>
      <c r="BQ58" t="s">
        <v>973</v>
      </c>
      <c r="BR58" t="s">
        <v>973</v>
      </c>
    </row>
    <row r="59" spans="1:70" x14ac:dyDescent="0.25">
      <c r="A59" t="s">
        <v>237</v>
      </c>
      <c r="B59" t="s">
        <v>181</v>
      </c>
      <c r="C59" t="s">
        <v>182</v>
      </c>
      <c r="D59" s="6"/>
      <c r="E59" s="9" t="str">
        <f>HYPERLINK("http://plants.ensembl.org/Triticum_aestivum/Gene/Summary?g=TRIAE_CS42_2BL_TGACv1_129463_AA0384870","TRIAE_CS42_2BL_TGACv1_129463_AA0384870")</f>
        <v>TRIAE_CS42_2BL_TGACv1_129463_AA0384870</v>
      </c>
      <c r="F59" s="9" t="str">
        <f>HYPERLINK("http://mar2016-plants.ensembl.org/Triticum_aestivum/Gene/Summary?db=core;g=Traes_2BL_FE46FC938","Traes_2BL_FE46FC938")</f>
        <v>Traes_2BL_FE46FC938</v>
      </c>
      <c r="H59" s="8" t="str">
        <f>HYPERLINK("http://plants.ensembl.org/Brachypodium_distachyon/Gene/Summary?g=Bradi5g24100","Bradi5g24100")</f>
        <v>Bradi5g24100</v>
      </c>
      <c r="I59" s="8" t="str">
        <f>HYPERLINK("http://plants.ensembl.org/Arabidopsis_thaliana/Gene/Summary?g=AT4G36920","AT4G36920")</f>
        <v>AT4G36920</v>
      </c>
      <c r="J59" s="9" t="str">
        <f>HYPERLINK("http://plants.ensembl.org/Oryza_sativa/Gene/Summary?db=otherfeatures;g=LOC_Os04g55560","LOC_Os04g55560")</f>
        <v>LOC_Os04g55560</v>
      </c>
      <c r="L59" s="6"/>
      <c r="M59" s="1" t="s">
        <v>973</v>
      </c>
      <c r="N59" s="1" t="s">
        <v>973</v>
      </c>
      <c r="O59" s="1">
        <v>1</v>
      </c>
      <c r="P59" s="1" t="s">
        <v>973</v>
      </c>
      <c r="Q59" s="1" t="s">
        <v>973</v>
      </c>
      <c r="R59" s="1" t="s">
        <v>973</v>
      </c>
      <c r="S59" s="1"/>
      <c r="T59" s="6"/>
      <c r="U59" s="11">
        <v>5.9519296546323819</v>
      </c>
      <c r="V59" s="11">
        <v>6.5450385935197541</v>
      </c>
      <c r="W59" s="11">
        <v>7.0284302831690839</v>
      </c>
      <c r="X59" s="11">
        <v>6.5850807167212793</v>
      </c>
      <c r="Y59" s="11">
        <v>6.5362026549915138</v>
      </c>
      <c r="Z59" s="11">
        <v>5.5743437539200134</v>
      </c>
      <c r="AA59" s="11">
        <v>7.7780626696492732</v>
      </c>
      <c r="AB59" s="11">
        <v>6.6042042962159639</v>
      </c>
      <c r="AC59" s="11">
        <v>5.6079181230413004</v>
      </c>
      <c r="AD59" s="11">
        <v>6.0967727733042425</v>
      </c>
      <c r="AE59" s="11">
        <v>7.2246953520423851</v>
      </c>
      <c r="AF59" s="11">
        <v>6.4909369613256453</v>
      </c>
      <c r="AG59" s="11">
        <v>6.6243602366052885</v>
      </c>
      <c r="AH59" s="11">
        <v>5.335281962387934</v>
      </c>
      <c r="AI59" s="11">
        <v>6.5528617001336729</v>
      </c>
      <c r="AJ59" s="11">
        <v>5.9058819595710572</v>
      </c>
      <c r="AK59" s="6"/>
      <c r="AL59" t="s">
        <v>1095</v>
      </c>
      <c r="AM59">
        <v>0</v>
      </c>
      <c r="AN59" s="6"/>
      <c r="AO59" s="20">
        <v>0.3926</v>
      </c>
      <c r="AP59" s="20">
        <v>0.53639999999999999</v>
      </c>
      <c r="AQ59" s="20">
        <v>-0.19539999999999999</v>
      </c>
      <c r="AR59" s="20">
        <v>8.4599999999999995E-2</v>
      </c>
      <c r="AS59" s="20">
        <v>-8.9800000000000005E-2</v>
      </c>
      <c r="AT59" s="20">
        <v>0.2432</v>
      </c>
      <c r="AU59" s="20">
        <v>1.2195</v>
      </c>
      <c r="AV59" s="20">
        <v>0.6986</v>
      </c>
      <c r="AW59" s="6"/>
      <c r="AX59" s="18">
        <v>0.437</v>
      </c>
      <c r="AY59" s="18">
        <v>0.31080000000000002</v>
      </c>
      <c r="AZ59" s="18">
        <v>0.68049999999999999</v>
      </c>
      <c r="BA59" s="18">
        <v>0.86009999999999998</v>
      </c>
      <c r="BB59" s="18">
        <v>0.8508</v>
      </c>
      <c r="BC59" s="18">
        <v>0.62239999999999995</v>
      </c>
      <c r="BD59" s="18">
        <v>1.021E-2</v>
      </c>
      <c r="BE59" s="18">
        <v>0.14779999999999999</v>
      </c>
      <c r="BF59" s="13"/>
      <c r="BG59" t="s">
        <v>1111</v>
      </c>
      <c r="BH59" t="s">
        <v>1216</v>
      </c>
      <c r="BI59" t="s">
        <v>1137</v>
      </c>
      <c r="BJ59" t="s">
        <v>1114</v>
      </c>
      <c r="BK59" t="s">
        <v>1115</v>
      </c>
      <c r="BL59" t="s">
        <v>1226</v>
      </c>
      <c r="BM59" t="s">
        <v>1117</v>
      </c>
      <c r="BN59" s="13"/>
      <c r="BO59" t="s">
        <v>973</v>
      </c>
      <c r="BP59" t="s">
        <v>973</v>
      </c>
      <c r="BQ59" t="s">
        <v>973</v>
      </c>
      <c r="BR59" t="s">
        <v>973</v>
      </c>
    </row>
    <row r="60" spans="1:70" x14ac:dyDescent="0.25">
      <c r="A60" t="s">
        <v>283</v>
      </c>
      <c r="B60" t="s">
        <v>181</v>
      </c>
      <c r="C60" t="s">
        <v>182</v>
      </c>
      <c r="D60" s="6"/>
      <c r="H60" s="8" t="str">
        <f>HYPERLINK("http://plants.ensembl.org/Brachypodium_distachyon/Gene/Summary?g=Bradi5g24100","Bradi5g24100")</f>
        <v>Bradi5g24100</v>
      </c>
      <c r="I60" s="8" t="str">
        <f>HYPERLINK("http://plants.ensembl.org/Arabidopsis_thaliana/Gene/Summary?g=AT4G36920","AT4G36920")</f>
        <v>AT4G36920</v>
      </c>
      <c r="J60" s="9" t="str">
        <f>HYPERLINK("http://plants.ensembl.org/Oryza_sativa/Gene/Summary?db=otherfeatures;g=LOC_Os04g55560","LOC_Os04g55560")</f>
        <v>LOC_Os04g55560</v>
      </c>
      <c r="L60" s="6"/>
      <c r="M60" s="1" t="s">
        <v>973</v>
      </c>
      <c r="N60" s="1" t="s">
        <v>973</v>
      </c>
      <c r="O60" s="1">
        <v>1</v>
      </c>
      <c r="P60" s="1" t="s">
        <v>973</v>
      </c>
      <c r="Q60" s="1" t="s">
        <v>973</v>
      </c>
      <c r="R60" s="1" t="s">
        <v>973</v>
      </c>
      <c r="S60" s="1"/>
      <c r="T60" s="6"/>
      <c r="U60" s="11">
        <v>7.5728234928656484</v>
      </c>
      <c r="V60" s="11">
        <v>7.7567404420262065</v>
      </c>
      <c r="W60" s="11">
        <v>7.7346886231029641</v>
      </c>
      <c r="X60" s="11">
        <v>7.8312928854045438</v>
      </c>
      <c r="Y60" s="11">
        <v>7.2144454118085228</v>
      </c>
      <c r="Z60" s="11">
        <v>6.6862955472100412</v>
      </c>
      <c r="AA60" s="11">
        <v>7.8556415602936047</v>
      </c>
      <c r="AB60" s="11">
        <v>7.8083239073061597</v>
      </c>
      <c r="AC60" s="11">
        <v>7.5777586211417374</v>
      </c>
      <c r="AD60" s="11">
        <v>7.8204430067678761</v>
      </c>
      <c r="AE60" s="11">
        <v>7.5313094539398584</v>
      </c>
      <c r="AF60" s="11">
        <v>7.0267760879846337</v>
      </c>
      <c r="AG60" s="11">
        <v>7.5397497296545692</v>
      </c>
      <c r="AH60" s="11">
        <v>6.7475717978816894</v>
      </c>
      <c r="AI60" s="11">
        <v>7.5547223715292677</v>
      </c>
      <c r="AJ60" s="11">
        <v>7.1132747335283435</v>
      </c>
      <c r="AK60" s="6"/>
      <c r="AL60" t="s">
        <v>1093</v>
      </c>
      <c r="AM60">
        <v>0</v>
      </c>
      <c r="AN60" s="6"/>
      <c r="AO60" s="20">
        <v>1.3100000000000001E-2</v>
      </c>
      <c r="AP60" s="20">
        <v>-2.1399999999999999E-2</v>
      </c>
      <c r="AQ60" s="20">
        <v>0.20280000000000001</v>
      </c>
      <c r="AR60" s="20">
        <v>0.79800000000000004</v>
      </c>
      <c r="AS60" s="20">
        <v>-0.32700000000000001</v>
      </c>
      <c r="AT60" s="20">
        <v>-6.08E-2</v>
      </c>
      <c r="AU60" s="20">
        <v>0.2999</v>
      </c>
      <c r="AV60" s="20">
        <v>0.69420000000000004</v>
      </c>
      <c r="AW60" s="6"/>
      <c r="AX60" s="18">
        <v>0.97170000000000001</v>
      </c>
      <c r="AY60" s="18">
        <v>0.9556</v>
      </c>
      <c r="AZ60" s="18">
        <v>0.57330000000000003</v>
      </c>
      <c r="BA60" s="18">
        <v>2.785E-2</v>
      </c>
      <c r="BB60" s="18">
        <v>0.36530000000000001</v>
      </c>
      <c r="BC60" s="18">
        <v>0.86860000000000004</v>
      </c>
      <c r="BD60" s="18">
        <v>0.40379999999999999</v>
      </c>
      <c r="BE60" s="18">
        <v>5.5129999999999998E-2</v>
      </c>
      <c r="BF60" s="13"/>
      <c r="BG60" t="s">
        <v>1111</v>
      </c>
      <c r="BH60" t="s">
        <v>1253</v>
      </c>
      <c r="BI60" t="s">
        <v>1254</v>
      </c>
      <c r="BJ60" t="s">
        <v>1114</v>
      </c>
      <c r="BK60" t="s">
        <v>1115</v>
      </c>
      <c r="BL60" t="s">
        <v>1255</v>
      </c>
      <c r="BM60" t="s">
        <v>1117</v>
      </c>
      <c r="BN60" s="13"/>
      <c r="BO60" t="s">
        <v>973</v>
      </c>
      <c r="BP60" t="s">
        <v>973</v>
      </c>
      <c r="BQ60" t="s">
        <v>973</v>
      </c>
      <c r="BR60" t="s">
        <v>973</v>
      </c>
    </row>
    <row r="61" spans="1:70" x14ac:dyDescent="0.25">
      <c r="A61" t="s">
        <v>608</v>
      </c>
      <c r="B61" t="s">
        <v>609</v>
      </c>
      <c r="C61" t="s">
        <v>182</v>
      </c>
      <c r="D61" s="6"/>
      <c r="E61" s="9" t="str">
        <f>HYPERLINK("http://plants.ensembl.org/Triticum_aestivum/Gene/Summary?g=TRIAE_CS42_5AL_TGACv1_376679_AA1239850","TRIAE_CS42_5AL_TGACv1_376679_AA1239850")</f>
        <v>TRIAE_CS42_5AL_TGACv1_376679_AA1239850</v>
      </c>
      <c r="F61" s="9" t="str">
        <f>HYPERLINK("http://mar2016-plants.ensembl.org/Triticum_aestivum/Gene/Summary?db=core;g=Traes_5AL_F8DEBE8E7","Traes_5AL_F8DEBE8E7")</f>
        <v>Traes_5AL_F8DEBE8E7</v>
      </c>
      <c r="H61" s="8" t="str">
        <f>HYPERLINK("http://plants.ensembl.org/Brachypodium_distachyon/Gene/Summary?g=Bradi4g43877","Bradi4g43877")</f>
        <v>Bradi4g43877</v>
      </c>
      <c r="I61" s="1" t="s">
        <v>1051</v>
      </c>
      <c r="J61" s="9" t="str">
        <f>HYPERLINK("http://plants.ensembl.org/Oryza_sativa/Gene/Summary?db=otherfeatures;g=LOC_Os12g03290","LOC_Os12g03290")</f>
        <v>LOC_Os12g03290</v>
      </c>
      <c r="L61" s="6"/>
      <c r="M61" s="1" t="s">
        <v>973</v>
      </c>
      <c r="N61" s="1" t="s">
        <v>973</v>
      </c>
      <c r="O61" s="1">
        <v>1</v>
      </c>
      <c r="P61" s="1" t="s">
        <v>973</v>
      </c>
      <c r="Q61" s="1" t="s">
        <v>973</v>
      </c>
      <c r="R61" s="1" t="s">
        <v>973</v>
      </c>
      <c r="S61" s="1"/>
      <c r="T61" s="6"/>
      <c r="U61" s="11">
        <v>10.036602189615728</v>
      </c>
      <c r="V61" s="11">
        <v>9.6892976460780922</v>
      </c>
      <c r="W61" s="11">
        <v>8.7743290355315171</v>
      </c>
      <c r="X61" s="11">
        <v>9.4491455494600096</v>
      </c>
      <c r="Y61" s="11">
        <v>8.2942666172220427</v>
      </c>
      <c r="Z61" s="11">
        <v>8.5486594596846075</v>
      </c>
      <c r="AA61" s="11">
        <v>8.7858293996238395</v>
      </c>
      <c r="AB61" s="11">
        <v>9.312381554322009</v>
      </c>
      <c r="AC61" s="11">
        <v>7.1734196349368755</v>
      </c>
      <c r="AD61" s="11">
        <v>9.1835243115950718</v>
      </c>
      <c r="AE61" s="11">
        <v>7.3183749939104237</v>
      </c>
      <c r="AF61" s="11">
        <v>8.4738507558418075</v>
      </c>
      <c r="AG61" s="11">
        <v>6.6691260040901659</v>
      </c>
      <c r="AH61" s="11">
        <v>8.2328322904508351</v>
      </c>
      <c r="AI61" s="11">
        <v>7.5126935900881948</v>
      </c>
      <c r="AJ61" s="11">
        <v>9.3138386131919795</v>
      </c>
      <c r="AK61" s="6"/>
      <c r="AL61" t="s">
        <v>1104</v>
      </c>
      <c r="AM61">
        <v>0</v>
      </c>
      <c r="AN61" s="6"/>
      <c r="AO61" s="20">
        <v>2.8666</v>
      </c>
      <c r="AP61" s="20">
        <v>0.48159999999999997</v>
      </c>
      <c r="AQ61" s="20">
        <v>1.4512</v>
      </c>
      <c r="AR61" s="20">
        <v>0.9708</v>
      </c>
      <c r="AS61" s="20">
        <v>1.6246</v>
      </c>
      <c r="AT61" s="20">
        <v>0.31519999999999998</v>
      </c>
      <c r="AU61" s="20">
        <v>1.2715000000000001</v>
      </c>
      <c r="AV61" s="20">
        <v>-1.8E-3</v>
      </c>
      <c r="AW61" s="6"/>
      <c r="AX61" s="18">
        <v>3.8740000000000003E-18</v>
      </c>
      <c r="AY61" s="18">
        <v>0.1479</v>
      </c>
      <c r="AZ61" s="18">
        <v>9.6530000000000006E-6</v>
      </c>
      <c r="BA61" s="18">
        <v>2.807E-3</v>
      </c>
      <c r="BB61" s="18">
        <v>8.2470000000000002E-7</v>
      </c>
      <c r="BC61" s="18">
        <v>0.33389999999999997</v>
      </c>
      <c r="BD61" s="18">
        <v>1.004E-4</v>
      </c>
      <c r="BE61" s="18">
        <v>0.99550000000000005</v>
      </c>
      <c r="BF61" s="13"/>
      <c r="BG61" t="s">
        <v>1407</v>
      </c>
      <c r="BH61" t="s">
        <v>1323</v>
      </c>
      <c r="BI61" t="s">
        <v>1113</v>
      </c>
      <c r="BJ61" t="s">
        <v>1114</v>
      </c>
      <c r="BK61" t="s">
        <v>1139</v>
      </c>
      <c r="BL61" t="s">
        <v>1116</v>
      </c>
      <c r="BM61" t="s">
        <v>1194</v>
      </c>
      <c r="BN61" s="13"/>
      <c r="BO61" t="s">
        <v>973</v>
      </c>
      <c r="BP61" t="s">
        <v>973</v>
      </c>
      <c r="BQ61" t="s">
        <v>973</v>
      </c>
      <c r="BR61" t="s">
        <v>973</v>
      </c>
    </row>
    <row r="62" spans="1:70" x14ac:dyDescent="0.25">
      <c r="A62" t="s">
        <v>724</v>
      </c>
      <c r="B62" t="s">
        <v>609</v>
      </c>
      <c r="C62" t="s">
        <v>182</v>
      </c>
      <c r="D62" s="6"/>
      <c r="E62" s="9" t="str">
        <f>HYPERLINK("http://plants.ensembl.org/Triticum_aestivum/Gene/Summary?g=TRIAE_CS42_5DL_TGACv1_433861_AA1423980","TRIAE_CS42_5DL_TGACv1_433861_AA1423980")</f>
        <v>TRIAE_CS42_5DL_TGACv1_433861_AA1423980</v>
      </c>
      <c r="F62" s="9" t="str">
        <f>HYPERLINK("http://mar2016-plants.ensembl.org/Triticum_aestivum/Gene/Summary?db=core;g=Traes_5DL_2CF55DD05","Traes_5DL_2CF55DD05")</f>
        <v>Traes_5DL_2CF55DD05</v>
      </c>
      <c r="H62" s="8" t="str">
        <f>HYPERLINK("http://plants.ensembl.org/Brachypodium_distachyon/Gene/Summary?g=Bradi4g43877","Bradi4g43877")</f>
        <v>Bradi4g43877</v>
      </c>
      <c r="I62" s="1" t="s">
        <v>1051</v>
      </c>
      <c r="J62" s="9" t="str">
        <f>HYPERLINK("http://plants.ensembl.org/Oryza_sativa/Gene/Summary?db=otherfeatures;g=LOC_Os12g03290","LOC_Os12g03290")</f>
        <v>LOC_Os12g03290</v>
      </c>
      <c r="L62" s="6"/>
      <c r="M62" s="1" t="s">
        <v>973</v>
      </c>
      <c r="N62" s="1" t="s">
        <v>973</v>
      </c>
      <c r="O62" s="1">
        <v>1</v>
      </c>
      <c r="P62" s="1" t="s">
        <v>973</v>
      </c>
      <c r="Q62" s="1" t="s">
        <v>973</v>
      </c>
      <c r="R62" s="1" t="s">
        <v>973</v>
      </c>
      <c r="S62" s="1"/>
      <c r="T62" s="6"/>
      <c r="U62" s="11">
        <v>9.2277785332427573</v>
      </c>
      <c r="V62" s="11">
        <v>8.886388274005192</v>
      </c>
      <c r="W62" s="11">
        <v>7.6377123939029747</v>
      </c>
      <c r="X62" s="11">
        <v>8.1918802515713462</v>
      </c>
      <c r="Y62" s="11">
        <v>7.195081793501128</v>
      </c>
      <c r="Z62" s="11">
        <v>7.6361494437304431</v>
      </c>
      <c r="AA62" s="11">
        <v>7.861239544363511</v>
      </c>
      <c r="AB62" s="11">
        <v>8.4408509002774359</v>
      </c>
      <c r="AC62" s="11">
        <v>6.7113448475491149</v>
      </c>
      <c r="AD62" s="11">
        <v>8.029942204474624</v>
      </c>
      <c r="AE62" s="11">
        <v>6.604649096701003</v>
      </c>
      <c r="AF62" s="11">
        <v>7.391076572322401</v>
      </c>
      <c r="AG62" s="11">
        <v>6.2286308073081189</v>
      </c>
      <c r="AH62" s="11">
        <v>7.370854767158618</v>
      </c>
      <c r="AI62" s="11">
        <v>6.8452198862306535</v>
      </c>
      <c r="AJ62" s="11">
        <v>8.2822329804161896</v>
      </c>
      <c r="AK62" s="6"/>
      <c r="AL62" t="s">
        <v>1077</v>
      </c>
      <c r="AM62">
        <v>0</v>
      </c>
      <c r="AN62" s="6"/>
      <c r="AO62" s="20">
        <v>2.5356000000000001</v>
      </c>
      <c r="AP62" s="20">
        <v>0.80700000000000005</v>
      </c>
      <c r="AQ62" s="20">
        <v>1.0335000000000001</v>
      </c>
      <c r="AR62" s="20">
        <v>0.79579999999999995</v>
      </c>
      <c r="AS62" s="20">
        <v>0.96630000000000005</v>
      </c>
      <c r="AT62" s="20">
        <v>0.2681</v>
      </c>
      <c r="AU62" s="20">
        <v>1.0182</v>
      </c>
      <c r="AV62" s="20">
        <v>0.1578</v>
      </c>
      <c r="AW62" s="6"/>
      <c r="AX62" s="18">
        <v>6.6949999999999996E-17</v>
      </c>
      <c r="AY62" s="18">
        <v>9.7330000000000003E-3</v>
      </c>
      <c r="AZ62" s="18">
        <v>6.3250000000000003E-4</v>
      </c>
      <c r="BA62" s="18">
        <v>7.6169999999999996E-3</v>
      </c>
      <c r="BB62" s="18">
        <v>1.485E-3</v>
      </c>
      <c r="BC62" s="18">
        <v>0.37059999999999998</v>
      </c>
      <c r="BD62" s="18">
        <v>6.7849999999999996E-4</v>
      </c>
      <c r="BE62" s="18">
        <v>0.59219999999999995</v>
      </c>
      <c r="BF62" s="13"/>
      <c r="BG62" t="s">
        <v>1402</v>
      </c>
      <c r="BH62" t="s">
        <v>1323</v>
      </c>
      <c r="BI62" t="s">
        <v>1113</v>
      </c>
      <c r="BJ62" t="s">
        <v>1114</v>
      </c>
      <c r="BK62" t="s">
        <v>1252</v>
      </c>
      <c r="BL62" t="s">
        <v>1116</v>
      </c>
      <c r="BM62" t="s">
        <v>1117</v>
      </c>
      <c r="BN62" s="13"/>
      <c r="BO62" t="s">
        <v>973</v>
      </c>
      <c r="BP62" t="s">
        <v>973</v>
      </c>
      <c r="BQ62" t="s">
        <v>973</v>
      </c>
      <c r="BR62" t="s">
        <v>973</v>
      </c>
    </row>
    <row r="63" spans="1:70" x14ac:dyDescent="0.25">
      <c r="A63" t="s">
        <v>787</v>
      </c>
      <c r="B63" t="s">
        <v>788</v>
      </c>
      <c r="C63" t="s">
        <v>789</v>
      </c>
      <c r="D63" s="6"/>
      <c r="E63" s="9" t="str">
        <f>HYPERLINK("http://plants.ensembl.org/Triticum_aestivum/Gene/Summary?g=TRIAE_CS42_6AL_TGACv1_473264_AA1529760","TRIAE_CS42_6AL_TGACv1_473264_AA1529760")</f>
        <v>TRIAE_CS42_6AL_TGACv1_473264_AA1529760</v>
      </c>
      <c r="F63" s="9" t="str">
        <f>HYPERLINK("http://mar2016-plants.ensembl.org/Triticum_aestivum/Gene/Summary?db=core;g=Traes_6AL_6E13BE581","Traes_6AL_6E13BE581")</f>
        <v>Traes_6AL_6E13BE581</v>
      </c>
      <c r="G63" t="s">
        <v>1029</v>
      </c>
      <c r="H63" s="8" t="str">
        <f>HYPERLINK("http://plants.ensembl.org/Brachypodium_distachyon/Gene/Summary?g=Bradi3g59130","Bradi3g59130")</f>
        <v>Bradi3g59130</v>
      </c>
      <c r="I63" s="8" t="str">
        <f>HYPERLINK("http://plants.ensembl.org/Arabidopsis_thaliana/Gene/Summary?g=AT4G09650","AT4G09650")</f>
        <v>AT4G09650</v>
      </c>
      <c r="J63" s="9" t="str">
        <f>HYPERLINK("http://plants.ensembl.org/Oryza_sativa/Gene/Summary?db=otherfeatures;g=LOC_Os02g51470","LOC_Os02g51470")</f>
        <v>LOC_Os02g51470</v>
      </c>
      <c r="K63" s="9" t="str">
        <f>HYPERLINK("http://plants.ensembl.org/Zea_mays/Gene/Summary?db=otherfeatures;g=GRMZM2G025171","GRMZM2G025171")</f>
        <v>GRMZM2G025171</v>
      </c>
      <c r="L63" s="6"/>
      <c r="M63">
        <v>1</v>
      </c>
      <c r="N63">
        <v>1</v>
      </c>
      <c r="O63" t="s">
        <v>973</v>
      </c>
      <c r="P63" t="s">
        <v>973</v>
      </c>
      <c r="S63" t="s">
        <v>973</v>
      </c>
      <c r="T63" s="6"/>
      <c r="U63" s="11">
        <v>6.1913659037511595</v>
      </c>
      <c r="V63" s="11">
        <v>4.6114556965848736</v>
      </c>
      <c r="W63" s="11">
        <v>6.8061809667081112</v>
      </c>
      <c r="X63" s="11">
        <v>6.1528438945130999</v>
      </c>
      <c r="Y63" s="11">
        <v>6.8049978838919456</v>
      </c>
      <c r="Z63" s="11">
        <v>6.4958422383979952</v>
      </c>
      <c r="AA63" s="11">
        <v>7.4797552086035379</v>
      </c>
      <c r="AB63" s="11">
        <v>6.7285092080500073</v>
      </c>
      <c r="AC63" s="11">
        <v>7.4823914541009717</v>
      </c>
      <c r="AD63" s="11">
        <v>8.2759909885962575</v>
      </c>
      <c r="AE63" s="11">
        <v>7.3736943169879554</v>
      </c>
      <c r="AF63" s="11">
        <v>7.5259140872687436</v>
      </c>
      <c r="AG63" s="11">
        <v>7.6201015208857328</v>
      </c>
      <c r="AH63" s="11">
        <v>7.799839593171578</v>
      </c>
      <c r="AI63" s="11">
        <v>7.5246446164297902</v>
      </c>
      <c r="AJ63" s="11">
        <v>7.2855218219548092</v>
      </c>
      <c r="AK63" s="6"/>
      <c r="AL63" t="s">
        <v>1079</v>
      </c>
      <c r="AM63">
        <v>0</v>
      </c>
      <c r="AN63" s="6"/>
      <c r="AO63" s="20">
        <v>-1.2847</v>
      </c>
      <c r="AP63" s="20">
        <v>-3.6684999999999999</v>
      </c>
      <c r="AQ63" s="20">
        <v>-0.5696</v>
      </c>
      <c r="AR63" s="20">
        <v>-1.3833</v>
      </c>
      <c r="AS63" s="20">
        <v>-0.82020000000000004</v>
      </c>
      <c r="AT63" s="20">
        <v>-1.2861</v>
      </c>
      <c r="AU63" s="20">
        <v>-4.8500000000000001E-2</v>
      </c>
      <c r="AV63" s="20">
        <v>-0.55769999999999997</v>
      </c>
      <c r="AW63" s="6"/>
      <c r="AX63" s="18">
        <v>3.4050000000000001E-5</v>
      </c>
      <c r="AY63" s="18">
        <v>2.4629999999999999E-18</v>
      </c>
      <c r="AZ63" s="18">
        <v>4.5060000000000003E-2</v>
      </c>
      <c r="BA63" s="18">
        <v>1.9539999999999998E-6</v>
      </c>
      <c r="BB63" s="18">
        <v>3.8080000000000002E-3</v>
      </c>
      <c r="BC63" s="18">
        <v>6.6139999999999997E-6</v>
      </c>
      <c r="BD63" s="18">
        <v>0.86219999999999997</v>
      </c>
      <c r="BE63" s="18">
        <v>5.2060000000000002E-2</v>
      </c>
      <c r="BF63" s="13"/>
      <c r="BG63" t="s">
        <v>1158</v>
      </c>
      <c r="BH63" t="s">
        <v>1129</v>
      </c>
      <c r="BI63" t="s">
        <v>1221</v>
      </c>
      <c r="BJ63" t="s">
        <v>1114</v>
      </c>
      <c r="BK63" t="s">
        <v>1115</v>
      </c>
      <c r="BL63" t="s">
        <v>1116</v>
      </c>
      <c r="BM63" t="s">
        <v>1117</v>
      </c>
      <c r="BN63" s="13"/>
      <c r="BO63" t="s">
        <v>973</v>
      </c>
      <c r="BP63" t="s">
        <v>973</v>
      </c>
      <c r="BQ63" t="s">
        <v>973</v>
      </c>
      <c r="BR63" t="s">
        <v>973</v>
      </c>
    </row>
    <row r="64" spans="1:70" x14ac:dyDescent="0.25">
      <c r="A64" t="s">
        <v>835</v>
      </c>
      <c r="B64" t="s">
        <v>788</v>
      </c>
      <c r="C64" t="s">
        <v>789</v>
      </c>
      <c r="D64" s="6"/>
      <c r="E64" s="9" t="str">
        <f>HYPERLINK("http://plants.ensembl.org/Triticum_aestivum/Gene/Summary?g=TRIAE_CS42_6DL_TGACv1_526376_AA1681230","TRIAE_CS42_6DL_TGACv1_526376_AA1681230")</f>
        <v>TRIAE_CS42_6DL_TGACv1_526376_AA1681230</v>
      </c>
      <c r="F64" s="9" t="str">
        <f>HYPERLINK("http://mar2016-plants.ensembl.org/Triticum_aestivum/Gene/Summary?db=core;g=Traes_6DL_A19C3ABDA","Traes_6DL_A19C3ABDA")</f>
        <v>Traes_6DL_A19C3ABDA</v>
      </c>
      <c r="G64" t="s">
        <v>1029</v>
      </c>
      <c r="H64" s="8" t="str">
        <f>HYPERLINK("http://plants.ensembl.org/Brachypodium_distachyon/Gene/Summary?g=Bradi3g59130","Bradi3g59130")</f>
        <v>Bradi3g59130</v>
      </c>
      <c r="I64" s="8" t="str">
        <f>HYPERLINK("http://plants.ensembl.org/Arabidopsis_thaliana/Gene/Summary?g=AT4G09650","AT4G09650")</f>
        <v>AT4G09650</v>
      </c>
      <c r="J64" s="9" t="str">
        <f>HYPERLINK("http://plants.ensembl.org/Oryza_sativa/Gene/Summary?db=otherfeatures;g=LOC_Os02g51470","LOC_Os02g51470")</f>
        <v>LOC_Os02g51470</v>
      </c>
      <c r="K64" s="9" t="str">
        <f>HYPERLINK("http://plants.ensembl.org/Zea_mays/Gene/Summary?db=otherfeatures;g=GRMZM2G025171","GRMZM2G025171")</f>
        <v>GRMZM2G025171</v>
      </c>
      <c r="L64" s="6"/>
      <c r="M64">
        <v>1</v>
      </c>
      <c r="N64">
        <v>1</v>
      </c>
      <c r="O64" t="s">
        <v>973</v>
      </c>
      <c r="P64" t="s">
        <v>973</v>
      </c>
      <c r="S64" t="s">
        <v>973</v>
      </c>
      <c r="T64" s="6"/>
      <c r="U64" s="11">
        <v>5.6663627316068013</v>
      </c>
      <c r="V64" s="11">
        <v>5.0570444119911864</v>
      </c>
      <c r="W64" s="11">
        <v>6.0665664210705881</v>
      </c>
      <c r="X64" s="11">
        <v>5.437126734293507</v>
      </c>
      <c r="Y64" s="11">
        <v>6.3368718921548011</v>
      </c>
      <c r="Z64" s="11">
        <v>5.8714067006519928</v>
      </c>
      <c r="AA64" s="11">
        <v>6.9572560756264155</v>
      </c>
      <c r="AB64" s="11">
        <v>5.7970735213216704</v>
      </c>
      <c r="AC64" s="11">
        <v>6.8140102943707843</v>
      </c>
      <c r="AD64" s="11">
        <v>7.7800239466502203</v>
      </c>
      <c r="AE64" s="11">
        <v>6.8240672921363474</v>
      </c>
      <c r="AF64" s="11">
        <v>6.7486191085883931</v>
      </c>
      <c r="AG64" s="11">
        <v>7.0469868177540738</v>
      </c>
      <c r="AH64" s="11">
        <v>6.7214884131538053</v>
      </c>
      <c r="AI64" s="11">
        <v>6.7954150090171623</v>
      </c>
      <c r="AJ64" s="11">
        <v>6.3890585209738147</v>
      </c>
      <c r="AK64" s="6"/>
      <c r="AL64" t="s">
        <v>1079</v>
      </c>
      <c r="AM64">
        <v>0</v>
      </c>
      <c r="AN64" s="6"/>
      <c r="AO64" s="20">
        <v>-1.0913999999999999</v>
      </c>
      <c r="AP64" s="20">
        <v>-2.8351000000000002</v>
      </c>
      <c r="AQ64" s="20">
        <v>-0.76119999999999999</v>
      </c>
      <c r="AR64" s="20">
        <v>-1.3299000000000001</v>
      </c>
      <c r="AS64" s="20">
        <v>-0.71509999999999996</v>
      </c>
      <c r="AT64" s="20">
        <v>-0.83950000000000002</v>
      </c>
      <c r="AU64" s="20">
        <v>0.1615</v>
      </c>
      <c r="AV64" s="20">
        <v>-0.59750000000000003</v>
      </c>
      <c r="AW64" s="6"/>
      <c r="AX64" s="18">
        <v>1.33E-3</v>
      </c>
      <c r="AY64" s="18">
        <v>1.195E-11</v>
      </c>
      <c r="AZ64" s="18">
        <v>1.3820000000000001E-2</v>
      </c>
      <c r="BA64" s="18">
        <v>3.2660000000000002E-5</v>
      </c>
      <c r="BB64" s="18">
        <v>1.942E-2</v>
      </c>
      <c r="BC64" s="18">
        <v>7.3080000000000003E-3</v>
      </c>
      <c r="BD64" s="18">
        <v>0.59340000000000004</v>
      </c>
      <c r="BE64" s="18">
        <v>6.0310000000000002E-2</v>
      </c>
      <c r="BF64" s="13"/>
      <c r="BG64" t="s">
        <v>1213</v>
      </c>
      <c r="BH64" t="s">
        <v>1216</v>
      </c>
      <c r="BI64" t="s">
        <v>1292</v>
      </c>
      <c r="BJ64" t="s">
        <v>1217</v>
      </c>
      <c r="BK64" t="s">
        <v>1115</v>
      </c>
      <c r="BL64" t="s">
        <v>1116</v>
      </c>
      <c r="BM64" t="s">
        <v>1117</v>
      </c>
      <c r="BN64" s="13"/>
      <c r="BO64" t="s">
        <v>973</v>
      </c>
      <c r="BP64" t="s">
        <v>973</v>
      </c>
      <c r="BQ64" t="s">
        <v>973</v>
      </c>
      <c r="BR64" t="s">
        <v>973</v>
      </c>
    </row>
    <row r="65" spans="1:70" x14ac:dyDescent="0.25">
      <c r="A65" t="s">
        <v>389</v>
      </c>
      <c r="B65" t="s">
        <v>390</v>
      </c>
      <c r="C65" t="s">
        <v>391</v>
      </c>
      <c r="D65" s="6"/>
      <c r="E65" s="9" t="str">
        <f>HYPERLINK("http://plants.ensembl.org/Triticum_aestivum/Gene/Summary?g=TRIAE_CS42_U_TGACv1_640819_AA2075640","TRIAE_CS42_U_TGACv1_640819_AA2075640")</f>
        <v>TRIAE_CS42_U_TGACv1_640819_AA2075640</v>
      </c>
      <c r="F65" s="9" t="str">
        <f>HYPERLINK("http://mar2016-plants.ensembl.org/Triticum_aestivum/Gene/Summary?db=core;g=TRAES3BF086800070CFD","TRAES3BF086800070CFD")</f>
        <v>TRAES3BF086800070CFD</v>
      </c>
      <c r="H65" s="8" t="str">
        <f>HYPERLINK("http://plants.ensembl.org/Brachypodium_distachyon/Gene/Summary?g=Bradi2g52640","Bradi2g52640")</f>
        <v>Bradi2g52640</v>
      </c>
      <c r="I65" s="1" t="s">
        <v>1051</v>
      </c>
      <c r="J65" s="9" t="str">
        <f>HYPERLINK("http://plants.ensembl.org/Oryza_sativa/Gene/Summary?db=otherfeatures;g=LOC_Os01g58860","LOC_Os01g58860")</f>
        <v>LOC_Os01g58860</v>
      </c>
      <c r="L65" s="6"/>
      <c r="M65" s="1" t="s">
        <v>973</v>
      </c>
      <c r="N65" s="1" t="s">
        <v>973</v>
      </c>
      <c r="O65" s="1" t="s">
        <v>973</v>
      </c>
      <c r="P65" s="1">
        <v>1</v>
      </c>
      <c r="Q65" s="1" t="s">
        <v>973</v>
      </c>
      <c r="R65" s="1" t="s">
        <v>973</v>
      </c>
      <c r="S65" s="1"/>
      <c r="T65" s="6"/>
      <c r="U65" s="11">
        <v>5.8825378999593028</v>
      </c>
      <c r="V65" s="11">
        <v>6.7646831989458249</v>
      </c>
      <c r="W65" s="11">
        <v>4.9575958212695141</v>
      </c>
      <c r="X65" s="11">
        <v>5.3262341183043738</v>
      </c>
      <c r="Y65" s="11">
        <v>4.9009827018394052</v>
      </c>
      <c r="Z65" s="11">
        <v>5.2190626543915446</v>
      </c>
      <c r="AA65" s="11">
        <v>3.6704060422707014</v>
      </c>
      <c r="AB65" s="11">
        <v>4.7130872327990287</v>
      </c>
      <c r="AC65" s="11">
        <v>3.2929780209159096</v>
      </c>
      <c r="AD65" s="11">
        <v>2.1401133141957032</v>
      </c>
      <c r="AE65" s="11">
        <v>3.2011581115445833</v>
      </c>
      <c r="AF65" s="11">
        <v>3.1268352299742714</v>
      </c>
      <c r="AG65" s="11">
        <v>3.134127824319537</v>
      </c>
      <c r="AH65" s="11">
        <v>3.1703256944155558</v>
      </c>
      <c r="AI65" s="11">
        <v>1.5778920274693542</v>
      </c>
      <c r="AJ65" s="11">
        <v>2.8500993041969647</v>
      </c>
      <c r="AK65" s="6"/>
      <c r="AL65" t="s">
        <v>1077</v>
      </c>
      <c r="AM65">
        <v>112</v>
      </c>
      <c r="AN65" s="6"/>
      <c r="AO65" s="20">
        <v>2.8031000000000001</v>
      </c>
      <c r="AP65" s="20">
        <v>5.9135999999999997</v>
      </c>
      <c r="AQ65" s="20">
        <v>1.8454999999999999</v>
      </c>
      <c r="AR65" s="20">
        <v>2.2993000000000001</v>
      </c>
      <c r="AS65" s="20">
        <v>1.9124000000000001</v>
      </c>
      <c r="AT65" s="20">
        <v>2.1711</v>
      </c>
      <c r="AU65" s="20">
        <v>2.4447999999999999</v>
      </c>
      <c r="AV65" s="20">
        <v>1.9981</v>
      </c>
      <c r="AW65" s="6"/>
      <c r="AX65" s="18">
        <v>1.352E-8</v>
      </c>
      <c r="AY65" s="18">
        <v>1.4180000000000001E-13</v>
      </c>
      <c r="AZ65" s="18">
        <v>1.0950000000000001E-4</v>
      </c>
      <c r="BA65" s="18">
        <v>1.978E-6</v>
      </c>
      <c r="BB65" s="18">
        <v>3.6539999999999999E-5</v>
      </c>
      <c r="BC65" s="18">
        <v>7.9070000000000007E-6</v>
      </c>
      <c r="BD65" s="18">
        <v>1.3960000000000001E-4</v>
      </c>
      <c r="BE65" s="18">
        <v>7.1769999999999999E-5</v>
      </c>
      <c r="BF65" s="13"/>
      <c r="BG65" t="s">
        <v>1125</v>
      </c>
      <c r="BH65" t="s">
        <v>1126</v>
      </c>
      <c r="BI65" t="s">
        <v>1113</v>
      </c>
      <c r="BJ65" t="s">
        <v>1114</v>
      </c>
      <c r="BK65" t="s">
        <v>1115</v>
      </c>
      <c r="BL65" t="s">
        <v>1116</v>
      </c>
      <c r="BM65" t="s">
        <v>1117</v>
      </c>
      <c r="BN65" s="13"/>
      <c r="BO65" t="s">
        <v>973</v>
      </c>
      <c r="BP65">
        <v>1</v>
      </c>
      <c r="BQ65" t="s">
        <v>973</v>
      </c>
      <c r="BR65" t="s">
        <v>973</v>
      </c>
    </row>
    <row r="66" spans="1:70" x14ac:dyDescent="0.25">
      <c r="A66" t="s">
        <v>740</v>
      </c>
      <c r="B66" t="s">
        <v>741</v>
      </c>
      <c r="C66" t="s">
        <v>391</v>
      </c>
      <c r="D66" s="6"/>
      <c r="E66" s="9" t="str">
        <f>HYPERLINK("http://plants.ensembl.org/Triticum_aestivum/Gene/Summary?g=TRIAE_CS42_5DL_TGACv1_436192_AA1459140","TRIAE_CS42_5DL_TGACv1_436192_AA1459140")</f>
        <v>TRIAE_CS42_5DL_TGACv1_436192_AA1459140</v>
      </c>
      <c r="F66" s="9" t="str">
        <f>HYPERLINK("http://mar2016-plants.ensembl.org/Triticum_aestivum/Gene/Summary?db=core;g=Traes_5DL_C56331005","Traes_5DL_C56331005")</f>
        <v>Traes_5DL_C56331005</v>
      </c>
      <c r="H66" s="1" t="s">
        <v>1051</v>
      </c>
      <c r="I66" s="1" t="s">
        <v>1051</v>
      </c>
      <c r="J66" s="1" t="s">
        <v>1051</v>
      </c>
      <c r="L66" s="6"/>
      <c r="M66" s="1" t="s">
        <v>973</v>
      </c>
      <c r="N66" s="1" t="s">
        <v>973</v>
      </c>
      <c r="O66" s="1" t="s">
        <v>973</v>
      </c>
      <c r="P66" s="1">
        <v>1</v>
      </c>
      <c r="Q66" s="1" t="s">
        <v>973</v>
      </c>
      <c r="R66" s="1" t="s">
        <v>973</v>
      </c>
      <c r="S66" s="1"/>
      <c r="T66" s="6"/>
      <c r="U66" s="11">
        <v>4.5472585594252966</v>
      </c>
      <c r="V66" s="11">
        <v>3.668985177789025</v>
      </c>
      <c r="W66" s="11">
        <v>5.0195847981926667</v>
      </c>
      <c r="X66" s="11">
        <v>3.7133548938772716</v>
      </c>
      <c r="Y66" s="11">
        <v>5.9337528065286538</v>
      </c>
      <c r="Z66" s="11">
        <v>4.9869781927442567</v>
      </c>
      <c r="AA66" s="11">
        <v>7.7492935749530805</v>
      </c>
      <c r="AB66" s="11">
        <v>6.2424399109549462</v>
      </c>
      <c r="AC66" s="11">
        <v>7.0771742670072095</v>
      </c>
      <c r="AD66" s="11">
        <v>6.6498180544001917</v>
      </c>
      <c r="AE66" s="11">
        <v>6.562265323960613</v>
      </c>
      <c r="AF66" s="11">
        <v>5.9953488358477136</v>
      </c>
      <c r="AG66" s="11">
        <v>6.2181598951905768</v>
      </c>
      <c r="AH66" s="11">
        <v>6.6903053410073801</v>
      </c>
      <c r="AI66" s="11">
        <v>7.3558485018438633</v>
      </c>
      <c r="AJ66" s="11">
        <v>6.5486508551683009</v>
      </c>
      <c r="AK66" s="6"/>
      <c r="AL66" t="s">
        <v>1079</v>
      </c>
      <c r="AM66">
        <v>0</v>
      </c>
      <c r="AN66" s="6"/>
      <c r="AO66" s="20">
        <v>-2.8603999999999998</v>
      </c>
      <c r="AP66" s="20">
        <v>-3.0072000000000001</v>
      </c>
      <c r="AQ66" s="20">
        <v>-1.5578000000000001</v>
      </c>
      <c r="AR66" s="20">
        <v>-2.34</v>
      </c>
      <c r="AS66" s="20">
        <v>-0.28060000000000002</v>
      </c>
      <c r="AT66" s="20">
        <v>-1.7296</v>
      </c>
      <c r="AU66" s="20">
        <v>0.3926</v>
      </c>
      <c r="AV66" s="20">
        <v>-0.30859999999999999</v>
      </c>
      <c r="AW66" s="6"/>
      <c r="AX66" s="18">
        <v>1.4970000000000001E-10</v>
      </c>
      <c r="AY66" s="18">
        <v>1.3610000000000001E-7</v>
      </c>
      <c r="AZ66" s="18">
        <v>4.4150000000000003E-5</v>
      </c>
      <c r="BA66" s="18">
        <v>3.2840000000000002E-8</v>
      </c>
      <c r="BB66" s="18">
        <v>0.4516</v>
      </c>
      <c r="BC66" s="18">
        <v>6.2979999999999997E-6</v>
      </c>
      <c r="BD66" s="18">
        <v>0.27460000000000001</v>
      </c>
      <c r="BE66" s="18">
        <v>0.40620000000000001</v>
      </c>
      <c r="BF66" s="13"/>
      <c r="BG66" t="s">
        <v>1295</v>
      </c>
      <c r="BH66" t="s">
        <v>1216</v>
      </c>
      <c r="BI66" t="s">
        <v>1113</v>
      </c>
      <c r="BJ66" t="s">
        <v>1217</v>
      </c>
      <c r="BK66" t="s">
        <v>1115</v>
      </c>
      <c r="BL66" t="s">
        <v>1218</v>
      </c>
      <c r="BM66" t="s">
        <v>1259</v>
      </c>
      <c r="BN66" s="13"/>
      <c r="BO66" t="s">
        <v>973</v>
      </c>
      <c r="BP66" t="s">
        <v>973</v>
      </c>
      <c r="BQ66" t="s">
        <v>973</v>
      </c>
      <c r="BR66" t="s">
        <v>973</v>
      </c>
    </row>
    <row r="67" spans="1:70" x14ac:dyDescent="0.25">
      <c r="A67" t="s">
        <v>790</v>
      </c>
      <c r="B67" t="s">
        <v>791</v>
      </c>
      <c r="C67" t="s">
        <v>391</v>
      </c>
      <c r="D67" s="6"/>
      <c r="E67" s="9" t="str">
        <f>HYPERLINK("http://plants.ensembl.org/Triticum_aestivum/Gene/Summary?g=TRIAE_CS42_6AL_TGACv1_472272_AA1520290","TRIAE_CS42_6AL_TGACv1_472272_AA1520290")</f>
        <v>TRIAE_CS42_6AL_TGACv1_472272_AA1520290</v>
      </c>
      <c r="F67" s="9" t="str">
        <f>HYPERLINK("http://mar2016-plants.ensembl.org/Triticum_aestivum/Gene/Summary?db=core;g=Traes_6AL_63EB7BBF7","Traes_6AL_63EB7BBF7")</f>
        <v>Traes_6AL_63EB7BBF7</v>
      </c>
      <c r="G67" t="s">
        <v>1033</v>
      </c>
      <c r="H67" s="8" t="str">
        <f>HYPERLINK("http://plants.ensembl.org/Brachypodium_distachyon/Gene/Summary?g=Bradi3g59520","Bradi3g59520")</f>
        <v>Bradi3g59520</v>
      </c>
      <c r="I67" s="1" t="s">
        <v>1051</v>
      </c>
      <c r="J67" s="9" t="str">
        <f>HYPERLINK("http://plants.ensembl.org/Oryza_sativa/Gene/Summary?db=otherfeatures;g=LOC_Os02g50960","LOC_Os02g50960")</f>
        <v>LOC_Os02g50960</v>
      </c>
      <c r="K67" s="9" t="str">
        <f>HYPERLINK("http://plants.ensembl.org/Zea_mays/Gene/Summary?db=otherfeatures;g=GRMZM2G149184","GRMZM2G149184")</f>
        <v>GRMZM2G149184</v>
      </c>
      <c r="L67" s="6"/>
      <c r="M67" t="s">
        <v>973</v>
      </c>
      <c r="N67" t="s">
        <v>973</v>
      </c>
      <c r="O67" t="s">
        <v>973</v>
      </c>
      <c r="P67">
        <v>1</v>
      </c>
      <c r="S67" t="s">
        <v>973</v>
      </c>
      <c r="T67" s="6"/>
      <c r="U67" s="11">
        <v>5.5415334243852987</v>
      </c>
      <c r="V67" s="11">
        <v>3.5731078746972953</v>
      </c>
      <c r="W67" s="11">
        <v>6.6002211791033023</v>
      </c>
      <c r="X67" s="11">
        <v>5.5909333050685648</v>
      </c>
      <c r="Y67" s="11">
        <v>5.9713534812072506</v>
      </c>
      <c r="Z67" s="11">
        <v>5.3246210152682449</v>
      </c>
      <c r="AA67" s="11">
        <v>7.0664652470144338</v>
      </c>
      <c r="AB67" s="11">
        <v>5.5669947188006885</v>
      </c>
      <c r="AC67" s="11">
        <v>5.9233124294088615</v>
      </c>
      <c r="AD67" s="11">
        <v>6.4385085520781491</v>
      </c>
      <c r="AE67" s="11">
        <v>7.0678505713421309</v>
      </c>
      <c r="AF67" s="11">
        <v>6.7145596703796411</v>
      </c>
      <c r="AG67" s="11">
        <v>6.8287432725041661</v>
      </c>
      <c r="AH67" s="11">
        <v>5.8386190316151616</v>
      </c>
      <c r="AI67" s="11">
        <v>6.4007405666441795</v>
      </c>
      <c r="AJ67" s="11">
        <v>5.7579130963668401</v>
      </c>
      <c r="AK67" s="6"/>
      <c r="AL67" t="s">
        <v>1075</v>
      </c>
      <c r="AM67">
        <v>0</v>
      </c>
      <c r="AN67" s="6"/>
      <c r="AO67" s="20">
        <v>-0.38750000000000001</v>
      </c>
      <c r="AP67" s="20">
        <v>-2.8182</v>
      </c>
      <c r="AQ67" s="20">
        <v>-0.46589999999999998</v>
      </c>
      <c r="AR67" s="20">
        <v>-1.1286</v>
      </c>
      <c r="AS67" s="20">
        <v>-0.85860000000000003</v>
      </c>
      <c r="AT67" s="20">
        <v>-0.51029999999999998</v>
      </c>
      <c r="AU67" s="20">
        <v>0.66390000000000005</v>
      </c>
      <c r="AV67" s="20">
        <v>-0.19289999999999999</v>
      </c>
      <c r="AW67" s="6"/>
      <c r="AX67" s="18">
        <v>0.45369999999999999</v>
      </c>
      <c r="AY67" s="18">
        <v>2.584E-5</v>
      </c>
      <c r="AZ67" s="18">
        <v>0.33539999999999998</v>
      </c>
      <c r="BA67" s="18">
        <v>2.188E-2</v>
      </c>
      <c r="BB67" s="18">
        <v>7.8149999999999997E-2</v>
      </c>
      <c r="BC67" s="18">
        <v>0.30570000000000003</v>
      </c>
      <c r="BD67" s="18">
        <v>0.17</v>
      </c>
      <c r="BE67" s="18">
        <v>0.69840000000000002</v>
      </c>
      <c r="BF67" s="13"/>
      <c r="BG67" t="s">
        <v>1111</v>
      </c>
      <c r="BH67" t="s">
        <v>1216</v>
      </c>
      <c r="BI67" t="s">
        <v>1113</v>
      </c>
      <c r="BJ67" t="s">
        <v>1217</v>
      </c>
      <c r="BK67" t="s">
        <v>1115</v>
      </c>
      <c r="BL67" t="s">
        <v>1116</v>
      </c>
      <c r="BM67" t="s">
        <v>1117</v>
      </c>
      <c r="BN67" s="13"/>
      <c r="BO67" t="s">
        <v>973</v>
      </c>
      <c r="BP67" t="s">
        <v>973</v>
      </c>
      <c r="BQ67" t="s">
        <v>973</v>
      </c>
      <c r="BR67" t="s">
        <v>973</v>
      </c>
    </row>
    <row r="68" spans="1:70" x14ac:dyDescent="0.25">
      <c r="A68" t="s">
        <v>819</v>
      </c>
      <c r="B68" t="s">
        <v>791</v>
      </c>
      <c r="C68" t="s">
        <v>391</v>
      </c>
      <c r="D68" s="6"/>
      <c r="E68" s="9" t="str">
        <f>HYPERLINK("http://plants.ensembl.org/Triticum_aestivum/Gene/Summary?g=TRIAE_CS42_6BL_TGACv1_499586_AA1586780","TRIAE_CS42_6BL_TGACv1_499586_AA1586780")</f>
        <v>TRIAE_CS42_6BL_TGACv1_499586_AA1586780</v>
      </c>
      <c r="F68" s="9" t="str">
        <f>HYPERLINK("http://mar2016-plants.ensembl.org/Triticum_aestivum/Gene/Summary?db=core;g=Traes_6BL_84832D7AA","Traes_6BL_84832D7AA")</f>
        <v>Traes_6BL_84832D7AA</v>
      </c>
      <c r="G68" t="s">
        <v>1033</v>
      </c>
      <c r="H68" s="8" t="str">
        <f>HYPERLINK("http://plants.ensembl.org/Brachypodium_distachyon/Gene/Summary?g=Bradi3g59520","Bradi3g59520")</f>
        <v>Bradi3g59520</v>
      </c>
      <c r="I68" s="1" t="s">
        <v>1051</v>
      </c>
      <c r="J68" s="9" t="str">
        <f>HYPERLINK("http://plants.ensembl.org/Oryza_sativa/Gene/Summary?db=otherfeatures;g=LOC_Os02g50960","LOC_Os02g50960")</f>
        <v>LOC_Os02g50960</v>
      </c>
      <c r="K68" s="9" t="str">
        <f>HYPERLINK("http://plants.ensembl.org/Zea_mays/Gene/Summary?db=otherfeatures;g=GRMZM2G149184","GRMZM2G149184")</f>
        <v>GRMZM2G149184</v>
      </c>
      <c r="L68" s="6"/>
      <c r="M68" t="s">
        <v>973</v>
      </c>
      <c r="N68" t="s">
        <v>973</v>
      </c>
      <c r="O68" t="s">
        <v>973</v>
      </c>
      <c r="P68">
        <v>1</v>
      </c>
      <c r="S68" t="s">
        <v>973</v>
      </c>
      <c r="T68" s="6"/>
      <c r="U68" s="11">
        <v>5.9618332044682951</v>
      </c>
      <c r="V68" s="11">
        <v>4.6068291059582114</v>
      </c>
      <c r="W68" s="11">
        <v>8.1291672531984833</v>
      </c>
      <c r="X68" s="11">
        <v>6.9988356059568577</v>
      </c>
      <c r="Y68" s="11">
        <v>7.5592898951894556</v>
      </c>
      <c r="Z68" s="11">
        <v>6.7268175963579155</v>
      </c>
      <c r="AA68" s="11">
        <v>8.4688657954085613</v>
      </c>
      <c r="AB68" s="11">
        <v>7.0905923557908066</v>
      </c>
      <c r="AC68" s="11">
        <v>7.0386070116159649</v>
      </c>
      <c r="AD68" s="11">
        <v>6.6651729237108013</v>
      </c>
      <c r="AE68" s="11">
        <v>8.7941956544229853</v>
      </c>
      <c r="AF68" s="11">
        <v>7.8730337012271354</v>
      </c>
      <c r="AG68" s="11">
        <v>8.4206593820105518</v>
      </c>
      <c r="AH68" s="11">
        <v>7.217254954845024</v>
      </c>
      <c r="AI68" s="11">
        <v>8.3609358739330144</v>
      </c>
      <c r="AJ68" s="11">
        <v>7.1955264147502618</v>
      </c>
      <c r="AK68" s="6"/>
      <c r="AL68" t="s">
        <v>1095</v>
      </c>
      <c r="AM68">
        <v>0</v>
      </c>
      <c r="AN68" s="6"/>
      <c r="AO68" s="20">
        <v>-1.1425000000000001</v>
      </c>
      <c r="AP68" s="20">
        <v>-2.3268</v>
      </c>
      <c r="AQ68" s="20">
        <v>-0.65900000000000003</v>
      </c>
      <c r="AR68" s="20">
        <v>-0.86890000000000001</v>
      </c>
      <c r="AS68" s="20">
        <v>-0.85519999999999996</v>
      </c>
      <c r="AT68" s="20">
        <v>-0.4859</v>
      </c>
      <c r="AU68" s="20">
        <v>0.1066</v>
      </c>
      <c r="AV68" s="20">
        <v>-0.1048</v>
      </c>
      <c r="AW68" s="6"/>
      <c r="AX68" s="18">
        <v>2.5940000000000001E-2</v>
      </c>
      <c r="AY68" s="18">
        <v>1.6239999999999999E-4</v>
      </c>
      <c r="AZ68" s="18">
        <v>0.17519999999999999</v>
      </c>
      <c r="BA68" s="18">
        <v>7.6329999999999995E-2</v>
      </c>
      <c r="BB68" s="18">
        <v>7.9299999999999995E-2</v>
      </c>
      <c r="BC68" s="18">
        <v>0.32350000000000001</v>
      </c>
      <c r="BD68" s="18">
        <v>0.82640000000000002</v>
      </c>
      <c r="BE68" s="18">
        <v>0.83109999999999995</v>
      </c>
      <c r="BF68" s="13"/>
      <c r="BG68" t="s">
        <v>1128</v>
      </c>
      <c r="BH68" t="s">
        <v>1177</v>
      </c>
      <c r="BI68" t="s">
        <v>1284</v>
      </c>
      <c r="BJ68" t="s">
        <v>1217</v>
      </c>
      <c r="BK68" t="s">
        <v>1115</v>
      </c>
      <c r="BL68" t="s">
        <v>1116</v>
      </c>
      <c r="BM68" t="s">
        <v>1117</v>
      </c>
      <c r="BN68" s="13"/>
      <c r="BO68" t="s">
        <v>973</v>
      </c>
      <c r="BP68" t="s">
        <v>973</v>
      </c>
      <c r="BQ68" t="s">
        <v>973</v>
      </c>
      <c r="BR68" t="s">
        <v>973</v>
      </c>
    </row>
    <row r="69" spans="1:70" x14ac:dyDescent="0.25">
      <c r="A69" t="s">
        <v>836</v>
      </c>
      <c r="B69" t="s">
        <v>791</v>
      </c>
      <c r="C69" t="s">
        <v>391</v>
      </c>
      <c r="D69" s="6"/>
      <c r="E69" s="9" t="str">
        <f>HYPERLINK("http://plants.ensembl.org/Triticum_aestivum/Gene/Summary?g=TRIAE_CS42_6DL_TGACv1_526998_AA1696950","TRIAE_CS42_6DL_TGACv1_526998_AA1696950")</f>
        <v>TRIAE_CS42_6DL_TGACv1_526998_AA1696950</v>
      </c>
      <c r="F69" s="9" t="str">
        <f>HYPERLINK("http://mar2016-plants.ensembl.org/Triticum_aestivum/Gene/Summary?db=core;g=Traes_6DL_8FC5F9D66","Traes_6DL_8FC5F9D66")</f>
        <v>Traes_6DL_8FC5F9D66</v>
      </c>
      <c r="G69" t="s">
        <v>1033</v>
      </c>
      <c r="H69" s="8" t="str">
        <f>HYPERLINK("http://plants.ensembl.org/Brachypodium_distachyon/Gene/Summary?g=Bradi3g59520","Bradi3g59520")</f>
        <v>Bradi3g59520</v>
      </c>
      <c r="I69" s="1" t="s">
        <v>1051</v>
      </c>
      <c r="J69" s="9" t="str">
        <f>HYPERLINK("http://plants.ensembl.org/Oryza_sativa/Gene/Summary?db=otherfeatures;g=LOC_Os02g50960","LOC_Os02g50960")</f>
        <v>LOC_Os02g50960</v>
      </c>
      <c r="K69" s="9" t="str">
        <f>HYPERLINK("http://plants.ensembl.org/Zea_mays/Gene/Summary?db=otherfeatures;g=GRMZM2G149184","GRMZM2G149184")</f>
        <v>GRMZM2G149184</v>
      </c>
      <c r="L69" s="6"/>
      <c r="M69" t="s">
        <v>973</v>
      </c>
      <c r="N69" t="s">
        <v>973</v>
      </c>
      <c r="O69" t="s">
        <v>973</v>
      </c>
      <c r="P69">
        <v>1</v>
      </c>
      <c r="S69" t="s">
        <v>973</v>
      </c>
      <c r="T69" s="6"/>
      <c r="U69" s="11">
        <v>6.0640385325725212</v>
      </c>
      <c r="V69" s="11">
        <v>4.4056974390377706</v>
      </c>
      <c r="W69" s="11">
        <v>7.6355398958312</v>
      </c>
      <c r="X69" s="11">
        <v>6.5163114743789574</v>
      </c>
      <c r="Y69" s="11">
        <v>7.235456784456594</v>
      </c>
      <c r="Z69" s="11">
        <v>6.6366898665826595</v>
      </c>
      <c r="AA69" s="11">
        <v>8.1032974263469022</v>
      </c>
      <c r="AB69" s="11">
        <v>6.5626891579564912</v>
      </c>
      <c r="AC69" s="11">
        <v>6.8485741195541907</v>
      </c>
      <c r="AD69" s="11">
        <v>6.8840719951941001</v>
      </c>
      <c r="AE69" s="11">
        <v>8.0583112637190695</v>
      </c>
      <c r="AF69" s="11">
        <v>7.5843569927834213</v>
      </c>
      <c r="AG69" s="11">
        <v>8.1944605709235212</v>
      </c>
      <c r="AH69" s="11">
        <v>6.8791535422609646</v>
      </c>
      <c r="AI69" s="11">
        <v>7.5065382087202801</v>
      </c>
      <c r="AJ69" s="11">
        <v>6.7677995547944114</v>
      </c>
      <c r="AK69" s="6"/>
      <c r="AL69" t="s">
        <v>1075</v>
      </c>
      <c r="AM69">
        <v>0</v>
      </c>
      <c r="AN69" s="6"/>
      <c r="AO69" s="20">
        <v>-0.7782</v>
      </c>
      <c r="AP69" s="20">
        <v>-2.4767000000000001</v>
      </c>
      <c r="AQ69" s="20">
        <v>-0.41899999999999998</v>
      </c>
      <c r="AR69" s="20">
        <v>-1.0629999999999999</v>
      </c>
      <c r="AS69" s="20">
        <v>-0.95230000000000004</v>
      </c>
      <c r="AT69" s="20">
        <v>-0.2369</v>
      </c>
      <c r="AU69" s="20">
        <v>0.59130000000000005</v>
      </c>
      <c r="AV69" s="20">
        <v>-0.2051</v>
      </c>
      <c r="AW69" s="6"/>
      <c r="AX69" s="18">
        <v>0.1472</v>
      </c>
      <c r="AY69" s="18">
        <v>8.7379999999999993E-5</v>
      </c>
      <c r="AZ69" s="18">
        <v>0.41549999999999998</v>
      </c>
      <c r="BA69" s="18">
        <v>4.0620000000000003E-2</v>
      </c>
      <c r="BB69" s="18">
        <v>6.4579999999999999E-2</v>
      </c>
      <c r="BC69" s="18">
        <v>0.64870000000000005</v>
      </c>
      <c r="BD69" s="18">
        <v>0.25040000000000001</v>
      </c>
      <c r="BE69" s="18">
        <v>0.69389999999999996</v>
      </c>
      <c r="BF69" s="13"/>
      <c r="BG69" t="s">
        <v>1128</v>
      </c>
      <c r="BH69" t="s">
        <v>1287</v>
      </c>
      <c r="BI69" t="s">
        <v>1172</v>
      </c>
      <c r="BJ69" t="s">
        <v>1217</v>
      </c>
      <c r="BK69" t="s">
        <v>1115</v>
      </c>
      <c r="BL69" t="s">
        <v>1116</v>
      </c>
      <c r="BM69" t="s">
        <v>1117</v>
      </c>
      <c r="BN69" s="13"/>
      <c r="BO69" t="s">
        <v>973</v>
      </c>
      <c r="BP69" t="s">
        <v>973</v>
      </c>
      <c r="BQ69" t="s">
        <v>973</v>
      </c>
      <c r="BR69" t="s">
        <v>973</v>
      </c>
    </row>
    <row r="70" spans="1:70" x14ac:dyDescent="0.25">
      <c r="A70" t="s">
        <v>885</v>
      </c>
      <c r="B70" t="s">
        <v>886</v>
      </c>
      <c r="C70" t="s">
        <v>391</v>
      </c>
      <c r="D70" s="6"/>
      <c r="E70" s="9" t="str">
        <f>HYPERLINK("http://plants.ensembl.org/Triticum_aestivum/Gene/Summary?g=TRIAE_CS42_7AL_TGACv1_557950_AA1788290","TRIAE_CS42_7AL_TGACv1_557950_AA1788290")</f>
        <v>TRIAE_CS42_7AL_TGACv1_557950_AA1788290</v>
      </c>
      <c r="F70" s="9" t="str">
        <f>HYPERLINK("http://mar2016-plants.ensembl.org/Triticum_aestivum/Gene/Summary?db=core;g=Traes_7AL_B8CD6C57F","Traes_7AL_B8CD6C57F")</f>
        <v>Traes_7AL_B8CD6C57F</v>
      </c>
      <c r="G70" t="s">
        <v>1040</v>
      </c>
      <c r="H70" s="8" t="str">
        <f>HYPERLINK("http://plants.ensembl.org/Brachypodium_distachyon/Gene/Summary?g=Bradi1g31530","Bradi1g31530")</f>
        <v>Bradi1g31530</v>
      </c>
      <c r="I70" s="8" t="str">
        <f>HYPERLINK("http://plants.ensembl.org/Arabidopsis_thaliana/Gene/Summary?g=AT5G57090","AT5G57090")</f>
        <v>AT5G57090</v>
      </c>
      <c r="J70" s="9" t="str">
        <f>HYPERLINK("http://plants.ensembl.org/Oryza_sativa/Gene/Summary?db=otherfeatures;g=LOC_Os06g44970","LOC_Os06g44970")</f>
        <v>LOC_Os06g44970</v>
      </c>
      <c r="K70" s="9" t="str">
        <f>HYPERLINK("http://plants.ensembl.org/Zea_mays/Gene/Summary?db=otherfeatures;g=GRMZM2G126260","GRMZM2G126260")</f>
        <v>GRMZM2G126260</v>
      </c>
      <c r="L70" s="6"/>
      <c r="M70" t="s">
        <v>973</v>
      </c>
      <c r="N70" t="s">
        <v>973</v>
      </c>
      <c r="O70">
        <v>1</v>
      </c>
      <c r="P70">
        <v>1</v>
      </c>
      <c r="S70" t="s">
        <v>973</v>
      </c>
      <c r="T70" s="6"/>
      <c r="U70" s="11">
        <v>8.8367936092625801</v>
      </c>
      <c r="V70" s="11">
        <v>5.8670661813991725</v>
      </c>
      <c r="W70" s="11">
        <v>8.7144984251278057</v>
      </c>
      <c r="X70" s="11">
        <v>8.1818067266099614</v>
      </c>
      <c r="Y70" s="11">
        <v>8.4117046054549753</v>
      </c>
      <c r="Z70" s="11">
        <v>7.3041754569347139</v>
      </c>
      <c r="AA70" s="11">
        <v>9.1937362668529286</v>
      </c>
      <c r="AB70" s="11">
        <v>7.540154909213304</v>
      </c>
      <c r="AC70" s="11">
        <v>9.1322304871155691</v>
      </c>
      <c r="AD70" s="11">
        <v>8.1127251503655273</v>
      </c>
      <c r="AE70" s="11">
        <v>9.1568256855229624</v>
      </c>
      <c r="AF70" s="11">
        <v>8.1678056560345507</v>
      </c>
      <c r="AG70" s="11">
        <v>8.8937938746118004</v>
      </c>
      <c r="AH70" s="11">
        <v>7.5478777804125086</v>
      </c>
      <c r="AI70" s="11">
        <v>8.6513262077727138</v>
      </c>
      <c r="AJ70" s="11">
        <v>8.0636902417793053</v>
      </c>
      <c r="AK70" s="6"/>
      <c r="AL70" t="s">
        <v>1105</v>
      </c>
      <c r="AM70">
        <v>0</v>
      </c>
      <c r="AN70" s="6"/>
      <c r="AO70" s="20">
        <v>-0.29959999999999998</v>
      </c>
      <c r="AP70" s="20">
        <v>-2.1484999999999999</v>
      </c>
      <c r="AQ70" s="20">
        <v>-0.44130000000000003</v>
      </c>
      <c r="AR70" s="20">
        <v>1.2999999999999999E-2</v>
      </c>
      <c r="AS70" s="20">
        <v>-0.4834</v>
      </c>
      <c r="AT70" s="20">
        <v>-0.2424</v>
      </c>
      <c r="AU70" s="20">
        <v>0.54259999999999997</v>
      </c>
      <c r="AV70" s="20">
        <v>-0.52629999999999999</v>
      </c>
      <c r="AW70" s="6"/>
      <c r="AX70" s="18">
        <v>0.1686</v>
      </c>
      <c r="AY70" s="18">
        <v>6.8430000000000002E-13</v>
      </c>
      <c r="AZ70" s="18">
        <v>3.7330000000000002E-2</v>
      </c>
      <c r="BA70" s="18">
        <v>0.95220000000000005</v>
      </c>
      <c r="BB70" s="18">
        <v>2.3189999999999999E-2</v>
      </c>
      <c r="BC70" s="18">
        <v>0.27560000000000001</v>
      </c>
      <c r="BD70" s="18">
        <v>1.0370000000000001E-2</v>
      </c>
      <c r="BE70" s="18">
        <v>1.6539999999999999E-2</v>
      </c>
      <c r="BF70" s="13"/>
      <c r="BG70" t="s">
        <v>1128</v>
      </c>
      <c r="BH70" t="s">
        <v>1157</v>
      </c>
      <c r="BI70" t="s">
        <v>1113</v>
      </c>
      <c r="BJ70" t="s">
        <v>1278</v>
      </c>
      <c r="BK70" t="s">
        <v>1209</v>
      </c>
      <c r="BL70" t="s">
        <v>1116</v>
      </c>
      <c r="BM70" t="s">
        <v>1117</v>
      </c>
      <c r="BN70" s="13"/>
      <c r="BO70" t="s">
        <v>973</v>
      </c>
      <c r="BP70" t="s">
        <v>973</v>
      </c>
      <c r="BQ70" t="s">
        <v>973</v>
      </c>
      <c r="BR70" t="s">
        <v>973</v>
      </c>
    </row>
    <row r="71" spans="1:70" x14ac:dyDescent="0.25">
      <c r="A71" t="s">
        <v>928</v>
      </c>
      <c r="B71" t="s">
        <v>929</v>
      </c>
      <c r="C71" t="s">
        <v>391</v>
      </c>
      <c r="D71" s="6"/>
      <c r="E71" s="9" t="str">
        <f>HYPERLINK("http://plants.ensembl.org/Triticum_aestivum/Gene/Summary?g=TRIAE_CS42_7BL_TGACv1_578580_AA1897450","TRIAE_CS42_7BL_TGACv1_578580_AA1897450")</f>
        <v>TRIAE_CS42_7BL_TGACv1_578580_AA1897450</v>
      </c>
      <c r="F71" s="9" t="str">
        <f>HYPERLINK("http://mar2016-plants.ensembl.org/Triticum_aestivum/Gene/Summary?db=core;g=Traes_7BL_920493FA2","Traes_7BL_920493FA2")</f>
        <v>Traes_7BL_920493FA2</v>
      </c>
      <c r="H71" s="8" t="str">
        <f>HYPERLINK("http://plants.ensembl.org/Brachypodium_distachyon/Gene/Summary?g=Bradi1g31530","Bradi1g31530")</f>
        <v>Bradi1g31530</v>
      </c>
      <c r="I71" s="8" t="str">
        <f>HYPERLINK("http://plants.ensembl.org/Arabidopsis_thaliana/Gene/Summary?g=AT5G57090","AT5G57090")</f>
        <v>AT5G57090</v>
      </c>
      <c r="J71" s="9" t="str">
        <f>HYPERLINK("http://plants.ensembl.org/Oryza_sativa/Gene/Summary?db=otherfeatures;g=LOC_Os06g44970","LOC_Os06g44970")</f>
        <v>LOC_Os06g44970</v>
      </c>
      <c r="L71" s="6"/>
      <c r="M71" s="1" t="s">
        <v>973</v>
      </c>
      <c r="N71" s="1" t="s">
        <v>973</v>
      </c>
      <c r="O71" s="1" t="s">
        <v>973</v>
      </c>
      <c r="P71" s="1">
        <v>1</v>
      </c>
      <c r="Q71" s="1" t="s">
        <v>973</v>
      </c>
      <c r="R71" s="1" t="s">
        <v>973</v>
      </c>
      <c r="S71" s="1"/>
      <c r="T71" s="6"/>
      <c r="U71" s="11">
        <v>9.0125039600877894</v>
      </c>
      <c r="V71" s="11">
        <v>7.2034514393232172</v>
      </c>
      <c r="W71" s="11">
        <v>9.0332528415917004</v>
      </c>
      <c r="X71" s="11">
        <v>8.7789382173164263</v>
      </c>
      <c r="Y71" s="11">
        <v>8.8577018605290103</v>
      </c>
      <c r="Z71" s="11">
        <v>8.1957791807155793</v>
      </c>
      <c r="AA71" s="11">
        <v>9.6134168505678765</v>
      </c>
      <c r="AB71" s="11">
        <v>8.4101952265497779</v>
      </c>
      <c r="AC71" s="11">
        <v>9.1833262171331995</v>
      </c>
      <c r="AD71" s="11">
        <v>8.3052295637293465</v>
      </c>
      <c r="AE71" s="11">
        <v>9.2226462392679043</v>
      </c>
      <c r="AF71" s="11">
        <v>8.618190682446464</v>
      </c>
      <c r="AG71" s="11">
        <v>9.0878841845736851</v>
      </c>
      <c r="AH71" s="11">
        <v>8.1953579341871663</v>
      </c>
      <c r="AI71" s="11">
        <v>8.9259468193406786</v>
      </c>
      <c r="AJ71" s="11">
        <v>8.9040825240112991</v>
      </c>
      <c r="AK71" s="6"/>
      <c r="AL71" t="s">
        <v>1105</v>
      </c>
      <c r="AM71">
        <v>0</v>
      </c>
      <c r="AN71" s="6"/>
      <c r="AO71" s="20">
        <v>-0.1648</v>
      </c>
      <c r="AP71" s="20">
        <v>-1.1954</v>
      </c>
      <c r="AQ71" s="20">
        <v>-0.18940000000000001</v>
      </c>
      <c r="AR71" s="20">
        <v>0.15709999999999999</v>
      </c>
      <c r="AS71" s="20">
        <v>-0.23039999999999999</v>
      </c>
      <c r="AT71" s="20">
        <v>3.3E-3</v>
      </c>
      <c r="AU71" s="20">
        <v>0.68640000000000001</v>
      </c>
      <c r="AV71" s="20">
        <v>-0.49390000000000001</v>
      </c>
      <c r="AW71" s="6"/>
      <c r="AX71" s="18">
        <v>0.49430000000000002</v>
      </c>
      <c r="AY71" s="18">
        <v>2.3289999999999999E-5</v>
      </c>
      <c r="AZ71" s="18">
        <v>0.42280000000000001</v>
      </c>
      <c r="BA71" s="18">
        <v>0.50990000000000002</v>
      </c>
      <c r="BB71" s="18">
        <v>0.32990000000000003</v>
      </c>
      <c r="BC71" s="18">
        <v>0.98909999999999998</v>
      </c>
      <c r="BD71" s="18">
        <v>3.5959999999999998E-3</v>
      </c>
      <c r="BE71" s="18">
        <v>3.8429999999999999E-2</v>
      </c>
      <c r="BF71" s="13"/>
      <c r="BG71" t="s">
        <v>1128</v>
      </c>
      <c r="BH71" t="s">
        <v>1157</v>
      </c>
      <c r="BI71" t="s">
        <v>1113</v>
      </c>
      <c r="BJ71" t="s">
        <v>1237</v>
      </c>
      <c r="BK71" t="s">
        <v>1115</v>
      </c>
      <c r="BL71" t="s">
        <v>1116</v>
      </c>
      <c r="BM71" t="s">
        <v>1117</v>
      </c>
      <c r="BN71" s="13"/>
      <c r="BO71" t="s">
        <v>973</v>
      </c>
      <c r="BP71" t="s">
        <v>973</v>
      </c>
      <c r="BQ71" t="s">
        <v>973</v>
      </c>
      <c r="BR71" t="s">
        <v>973</v>
      </c>
    </row>
    <row r="72" spans="1:70" x14ac:dyDescent="0.25">
      <c r="A72" t="s">
        <v>960</v>
      </c>
      <c r="B72" t="s">
        <v>929</v>
      </c>
      <c r="C72" t="s">
        <v>391</v>
      </c>
      <c r="D72" s="6"/>
      <c r="E72" s="9" t="str">
        <f>HYPERLINK("http://plants.ensembl.org/Triticum_aestivum/Gene/Summary?g=TRIAE_CS42_7DL_TGACv1_602827_AA1969450","TRIAE_CS42_7DL_TGACv1_602827_AA1969450")</f>
        <v>TRIAE_CS42_7DL_TGACv1_602827_AA1969450</v>
      </c>
      <c r="F72" s="9" t="str">
        <f>HYPERLINK("http://mar2016-plants.ensembl.org/Triticum_aestivum/Gene/Summary?db=core;g=Traes_7DL_9589FBBE5","Traes_7DL_9589FBBE5")</f>
        <v>Traes_7DL_9589FBBE5</v>
      </c>
      <c r="G72" t="s">
        <v>1040</v>
      </c>
      <c r="H72" s="8" t="str">
        <f>HYPERLINK("http://plants.ensembl.org/Brachypodium_distachyon/Gene/Summary?g=Bradi1g31530","Bradi1g31530")</f>
        <v>Bradi1g31530</v>
      </c>
      <c r="I72" s="8" t="str">
        <f>HYPERLINK("http://plants.ensembl.org/Arabidopsis_thaliana/Gene/Summary?g=AT5G57090","AT5G57090")</f>
        <v>AT5G57090</v>
      </c>
      <c r="J72" s="9" t="str">
        <f>HYPERLINK("http://plants.ensembl.org/Oryza_sativa/Gene/Summary?db=otherfeatures;g=LOC_Os06g44970","LOC_Os06g44970")</f>
        <v>LOC_Os06g44970</v>
      </c>
      <c r="L72" s="6"/>
      <c r="M72" t="s">
        <v>973</v>
      </c>
      <c r="N72" t="s">
        <v>973</v>
      </c>
      <c r="O72">
        <v>1</v>
      </c>
      <c r="P72">
        <v>1</v>
      </c>
      <c r="S72" t="s">
        <v>973</v>
      </c>
      <c r="T72" s="6"/>
      <c r="U72" s="11">
        <v>8.2869966252874345</v>
      </c>
      <c r="V72" s="11">
        <v>5.6746291896557928</v>
      </c>
      <c r="W72" s="11">
        <v>7.9386308179306324</v>
      </c>
      <c r="X72" s="11">
        <v>7.8319380276234671</v>
      </c>
      <c r="Y72" s="11">
        <v>7.9346515415233485</v>
      </c>
      <c r="Z72" s="11">
        <v>7.2402685287641448</v>
      </c>
      <c r="AA72" s="11">
        <v>8.8331366644024172</v>
      </c>
      <c r="AB72" s="11">
        <v>7.3112602965898672</v>
      </c>
      <c r="AC72" s="11">
        <v>8.1249949378075588</v>
      </c>
      <c r="AD72" s="11">
        <v>7.0919765709382219</v>
      </c>
      <c r="AE72" s="11">
        <v>8.1248586731947441</v>
      </c>
      <c r="AF72" s="11">
        <v>7.3905642277221144</v>
      </c>
      <c r="AG72" s="11">
        <v>7.999731911834612</v>
      </c>
      <c r="AH72" s="11">
        <v>6.7496021996653663</v>
      </c>
      <c r="AI72" s="11">
        <v>7.8017732315878412</v>
      </c>
      <c r="AJ72" s="11">
        <v>7.5265237565931136</v>
      </c>
      <c r="AK72" s="6"/>
      <c r="AL72" t="s">
        <v>1105</v>
      </c>
      <c r="AM72">
        <v>0</v>
      </c>
      <c r="AN72" s="6"/>
      <c r="AO72" s="20">
        <v>0.16700000000000001</v>
      </c>
      <c r="AP72" s="20">
        <v>-1.3584000000000001</v>
      </c>
      <c r="AQ72" s="20">
        <v>-0.186</v>
      </c>
      <c r="AR72" s="20">
        <v>0.43070000000000003</v>
      </c>
      <c r="AS72" s="20">
        <v>-6.6900000000000001E-2</v>
      </c>
      <c r="AT72" s="20">
        <v>0.49769999999999998</v>
      </c>
      <c r="AU72" s="20">
        <v>1.0315000000000001</v>
      </c>
      <c r="AV72" s="20">
        <v>-0.21640000000000001</v>
      </c>
      <c r="AW72" s="6"/>
      <c r="AX72" s="18">
        <v>0.5353</v>
      </c>
      <c r="AY72" s="18">
        <v>1.2960000000000001E-4</v>
      </c>
      <c r="AZ72" s="18">
        <v>0.47960000000000003</v>
      </c>
      <c r="BA72" s="18">
        <v>0.1071</v>
      </c>
      <c r="BB72" s="18">
        <v>0.79930000000000001</v>
      </c>
      <c r="BC72" s="18">
        <v>6.8309999999999996E-2</v>
      </c>
      <c r="BD72" s="18">
        <v>8.1810000000000004E-5</v>
      </c>
      <c r="BE72" s="18">
        <v>0.42049999999999998</v>
      </c>
      <c r="BF72" s="13"/>
      <c r="BG72" t="s">
        <v>1304</v>
      </c>
      <c r="BH72" t="s">
        <v>1157</v>
      </c>
      <c r="BI72" t="s">
        <v>1113</v>
      </c>
      <c r="BJ72" t="s">
        <v>1237</v>
      </c>
      <c r="BK72" t="s">
        <v>1209</v>
      </c>
      <c r="BL72" t="s">
        <v>1116</v>
      </c>
      <c r="BM72" t="s">
        <v>1117</v>
      </c>
      <c r="BN72" s="13"/>
      <c r="BO72" t="s">
        <v>973</v>
      </c>
      <c r="BP72" t="s">
        <v>973</v>
      </c>
      <c r="BQ72" t="s">
        <v>973</v>
      </c>
      <c r="BR72" t="s">
        <v>973</v>
      </c>
    </row>
    <row r="73" spans="1:70" x14ac:dyDescent="0.25">
      <c r="A73" t="s">
        <v>642</v>
      </c>
      <c r="B73" t="s">
        <v>643</v>
      </c>
      <c r="C73" t="s">
        <v>644</v>
      </c>
      <c r="D73" s="6"/>
      <c r="E73" s="9" t="str">
        <f>HYPERLINK("http://plants.ensembl.org/Triticum_aestivum/Gene/Summary?g=TRIAE_CS42_5AL_TGACv1_375495_AA1222760","TRIAE_CS42_5AL_TGACv1_375495_AA1222760")</f>
        <v>TRIAE_CS42_5AL_TGACv1_375495_AA1222760</v>
      </c>
      <c r="F73" s="9" t="str">
        <f>HYPERLINK("http://mar2016-plants.ensembl.org/Triticum_aestivum/Gene/Summary?db=core;g=Traes_5AL_01462E655","Traes_5AL_01462E655")</f>
        <v>Traes_5AL_01462E655</v>
      </c>
      <c r="H73" s="8" t="str">
        <f>HYPERLINK("http://plants.ensembl.org/Brachypodium_distachyon/Gene/Summary?g=Bradi4g37450","Bradi4g37450")</f>
        <v>Bradi4g37450</v>
      </c>
      <c r="I73" s="8" t="str">
        <f>HYPERLINK("http://plants.ensembl.org/Arabidopsis_thaliana/Gene/Summary?g=AT5G65980","AT5G65980")</f>
        <v>AT5G65980</v>
      </c>
      <c r="J73" s="9" t="str">
        <f>HYPERLINK("http://plants.ensembl.org/Oryza_sativa/Gene/Summary?db=otherfeatures;g=LOC_Os09g38130","LOC_Os09g38130")</f>
        <v>LOC_Os09g38130</v>
      </c>
      <c r="L73" s="6"/>
      <c r="M73" s="1" t="s">
        <v>973</v>
      </c>
      <c r="N73" s="1" t="s">
        <v>973</v>
      </c>
      <c r="O73" s="1" t="s">
        <v>973</v>
      </c>
      <c r="P73" s="1">
        <v>1</v>
      </c>
      <c r="Q73" s="1" t="s">
        <v>973</v>
      </c>
      <c r="R73" s="1" t="s">
        <v>973</v>
      </c>
      <c r="S73" s="1"/>
      <c r="T73" s="6"/>
      <c r="U73" s="11">
        <v>9.8612870595837432</v>
      </c>
      <c r="V73" s="11">
        <v>10.062724544201815</v>
      </c>
      <c r="W73" s="11">
        <v>7.585013845724724</v>
      </c>
      <c r="X73" s="11">
        <v>8.4452934226329717</v>
      </c>
      <c r="Y73" s="11">
        <v>7.7237924389469104</v>
      </c>
      <c r="Z73" s="11">
        <v>7.7076462619449888</v>
      </c>
      <c r="AA73" s="11">
        <v>8.2731677310019904</v>
      </c>
      <c r="AB73" s="11">
        <v>8.7641176547069293</v>
      </c>
      <c r="AC73" s="11">
        <v>5.5165468116218195</v>
      </c>
      <c r="AD73" s="11">
        <v>5.6437234557251035</v>
      </c>
      <c r="AE73" s="11">
        <v>5.3496235863412629</v>
      </c>
      <c r="AF73" s="11">
        <v>5.8120454937615627</v>
      </c>
      <c r="AG73" s="11">
        <v>5.0123988295171422</v>
      </c>
      <c r="AH73" s="11">
        <v>4.7342543882852501</v>
      </c>
      <c r="AI73" s="11">
        <v>5.8370745048718318</v>
      </c>
      <c r="AJ73" s="11">
        <v>5.7423961243198614</v>
      </c>
      <c r="AK73" s="6"/>
      <c r="AL73" t="s">
        <v>1077</v>
      </c>
      <c r="AM73">
        <v>391</v>
      </c>
      <c r="AN73" s="6"/>
      <c r="AO73" s="20">
        <v>4.3696999999999999</v>
      </c>
      <c r="AP73" s="20">
        <v>4.2751999999999999</v>
      </c>
      <c r="AQ73" s="20">
        <v>2.2452000000000001</v>
      </c>
      <c r="AR73" s="20">
        <v>2.6114999999999999</v>
      </c>
      <c r="AS73" s="20">
        <v>2.7187999999999999</v>
      </c>
      <c r="AT73" s="20">
        <v>2.9902000000000002</v>
      </c>
      <c r="AU73" s="20">
        <v>2.4384000000000001</v>
      </c>
      <c r="AV73" s="20">
        <v>3.0224000000000002</v>
      </c>
      <c r="AW73" s="6"/>
      <c r="AX73" s="18">
        <v>4.3059999999999999E-28</v>
      </c>
      <c r="AY73" s="18">
        <v>1.424E-24</v>
      </c>
      <c r="AZ73" s="18">
        <v>1.6610000000000001E-8</v>
      </c>
      <c r="BA73" s="18">
        <v>3.0600000000000003E-11</v>
      </c>
      <c r="BB73" s="18">
        <v>6.3719999999999999E-12</v>
      </c>
      <c r="BC73" s="18">
        <v>2.9439999999999999E-13</v>
      </c>
      <c r="BD73" s="18">
        <v>4.4160000000000001E-10</v>
      </c>
      <c r="BE73" s="18">
        <v>1.189E-14</v>
      </c>
      <c r="BF73" s="13"/>
      <c r="BG73" t="s">
        <v>1131</v>
      </c>
      <c r="BH73" t="s">
        <v>1132</v>
      </c>
      <c r="BI73" t="s">
        <v>1113</v>
      </c>
      <c r="BJ73" t="s">
        <v>1114</v>
      </c>
      <c r="BK73" t="s">
        <v>1115</v>
      </c>
      <c r="BL73" t="s">
        <v>1220</v>
      </c>
      <c r="BM73" t="s">
        <v>1117</v>
      </c>
      <c r="BN73" s="13"/>
      <c r="BO73" t="s">
        <v>973</v>
      </c>
      <c r="BP73" t="s">
        <v>973</v>
      </c>
      <c r="BQ73" t="s">
        <v>973</v>
      </c>
      <c r="BR73" t="s">
        <v>973</v>
      </c>
    </row>
    <row r="74" spans="1:70" x14ac:dyDescent="0.25">
      <c r="A74" t="s">
        <v>697</v>
      </c>
      <c r="B74" t="s">
        <v>643</v>
      </c>
      <c r="C74" t="s">
        <v>644</v>
      </c>
      <c r="D74" s="6"/>
      <c r="E74" s="9" t="str">
        <f>HYPERLINK("http://plants.ensembl.org/Triticum_aestivum/Gene/Summary?g=TRIAE_CS42_5BL_TGACv1_405192_AA1321810","TRIAE_CS42_5BL_TGACv1_405192_AA1321810")</f>
        <v>TRIAE_CS42_5BL_TGACv1_405192_AA1321810</v>
      </c>
      <c r="F74" s="9" t="str">
        <f>HYPERLINK("http://mar2016-plants.ensembl.org/Triticum_aestivum/Gene/Summary?db=core;g=Traes_5BL_0DB47CE0A","Traes_5BL_0DB47CE0A")</f>
        <v>Traes_5BL_0DB47CE0A</v>
      </c>
      <c r="H74" s="8" t="str">
        <f>HYPERLINK("http://plants.ensembl.org/Brachypodium_distachyon/Gene/Summary?g=Bradi4g37450","Bradi4g37450")</f>
        <v>Bradi4g37450</v>
      </c>
      <c r="I74" s="8" t="str">
        <f>HYPERLINK("http://plants.ensembl.org/Arabidopsis_thaliana/Gene/Summary?g=AT5G65980","AT5G65980")</f>
        <v>AT5G65980</v>
      </c>
      <c r="J74" s="9" t="str">
        <f>HYPERLINK("http://plants.ensembl.org/Oryza_sativa/Gene/Summary?db=otherfeatures;g=LOC_Os09g38130","LOC_Os09g38130")</f>
        <v>LOC_Os09g38130</v>
      </c>
      <c r="L74" s="6"/>
      <c r="M74" s="1" t="s">
        <v>973</v>
      </c>
      <c r="N74" s="1" t="s">
        <v>973</v>
      </c>
      <c r="O74" s="1" t="s">
        <v>973</v>
      </c>
      <c r="P74" s="1">
        <v>1</v>
      </c>
      <c r="Q74" s="1" t="s">
        <v>973</v>
      </c>
      <c r="R74" s="1" t="s">
        <v>973</v>
      </c>
      <c r="S74" s="1"/>
      <c r="T74" s="6"/>
      <c r="U74" s="11">
        <v>9.9439242559995069</v>
      </c>
      <c r="V74" s="11">
        <v>10.100845182663901</v>
      </c>
      <c r="W74" s="11">
        <v>8.1517213459153517</v>
      </c>
      <c r="X74" s="11">
        <v>8.7118656279694395</v>
      </c>
      <c r="Y74" s="11">
        <v>9.5304121247754754</v>
      </c>
      <c r="Z74" s="11">
        <v>9.392063855430667</v>
      </c>
      <c r="AA74" s="11">
        <v>8.278509704774752</v>
      </c>
      <c r="AB74" s="11">
        <v>8.5317646985898321</v>
      </c>
      <c r="AC74" s="11">
        <v>5.2580841914330163</v>
      </c>
      <c r="AD74" s="11">
        <v>4.5893460355878011</v>
      </c>
      <c r="AE74" s="11">
        <v>4.485094024306326</v>
      </c>
      <c r="AF74" s="11">
        <v>4.2768241753248697</v>
      </c>
      <c r="AG74" s="11">
        <v>4.4628855770671683</v>
      </c>
      <c r="AH74" s="11">
        <v>3.1505217674238462</v>
      </c>
      <c r="AI74" s="11">
        <v>4.9308303608014183</v>
      </c>
      <c r="AJ74" s="11">
        <v>4.57776516589084</v>
      </c>
      <c r="AK74" s="6"/>
      <c r="AL74" t="s">
        <v>1077</v>
      </c>
      <c r="AM74">
        <v>1239</v>
      </c>
      <c r="AN74" s="6"/>
      <c r="AO74" s="20">
        <v>4.6906999999999996</v>
      </c>
      <c r="AP74" s="20">
        <v>5.2983000000000002</v>
      </c>
      <c r="AQ74" s="20">
        <v>3.6743000000000001</v>
      </c>
      <c r="AR74" s="20">
        <v>4.3929999999999998</v>
      </c>
      <c r="AS74" s="20">
        <v>5.0587</v>
      </c>
      <c r="AT74" s="20">
        <v>6.2839999999999998</v>
      </c>
      <c r="AU74" s="20">
        <v>3.3435999999999999</v>
      </c>
      <c r="AV74" s="20">
        <v>3.9517000000000002</v>
      </c>
      <c r="AW74" s="6"/>
      <c r="AX74" s="18">
        <v>2.743E-18</v>
      </c>
      <c r="AY74" s="18">
        <v>3.1670000000000002E-20</v>
      </c>
      <c r="AZ74" s="18">
        <v>1.531E-11</v>
      </c>
      <c r="BA74" s="18">
        <v>1.3400000000000001E-15</v>
      </c>
      <c r="BB74" s="18">
        <v>4.481E-21</v>
      </c>
      <c r="BC74" s="18">
        <v>5.7669999999999997E-27</v>
      </c>
      <c r="BD74" s="18">
        <v>5.0600000000000001E-10</v>
      </c>
      <c r="BE74" s="18">
        <v>3.1780000000000002E-13</v>
      </c>
      <c r="BF74" s="13"/>
      <c r="BG74" t="s">
        <v>1131</v>
      </c>
      <c r="BH74" t="s">
        <v>1262</v>
      </c>
      <c r="BI74" t="s">
        <v>1113</v>
      </c>
      <c r="BJ74" t="s">
        <v>1114</v>
      </c>
      <c r="BK74" t="s">
        <v>1115</v>
      </c>
      <c r="BL74" t="s">
        <v>1204</v>
      </c>
      <c r="BM74" t="s">
        <v>1117</v>
      </c>
      <c r="BN74" s="13"/>
      <c r="BO74" t="s">
        <v>973</v>
      </c>
      <c r="BP74" t="s">
        <v>973</v>
      </c>
      <c r="BQ74" t="s">
        <v>973</v>
      </c>
      <c r="BR74" t="s">
        <v>973</v>
      </c>
    </row>
    <row r="75" spans="1:70" x14ac:dyDescent="0.25">
      <c r="A75" t="s">
        <v>745</v>
      </c>
      <c r="B75" t="s">
        <v>643</v>
      </c>
      <c r="C75" t="s">
        <v>644</v>
      </c>
      <c r="D75" s="6"/>
      <c r="E75" s="9" t="str">
        <f>HYPERLINK("http://plants.ensembl.org/Triticum_aestivum/Gene/Summary?g=TRIAE_CS42_5DL_TGACv1_433317_AA1409350","TRIAE_CS42_5DL_TGACv1_433317_AA1409350")</f>
        <v>TRIAE_CS42_5DL_TGACv1_433317_AA1409350</v>
      </c>
      <c r="F75" s="9" t="str">
        <f>HYPERLINK("http://mar2016-plants.ensembl.org/Triticum_aestivum/Gene/Summary?db=core;g=Traes_5DL_A8D6AD482","Traes_5DL_A8D6AD482")</f>
        <v>Traes_5DL_A8D6AD482</v>
      </c>
      <c r="H75" s="8" t="str">
        <f>HYPERLINK("http://plants.ensembl.org/Brachypodium_distachyon/Gene/Summary?g=Bradi4g37450","Bradi4g37450")</f>
        <v>Bradi4g37450</v>
      </c>
      <c r="I75" s="8" t="str">
        <f>HYPERLINK("http://plants.ensembl.org/Arabidopsis_thaliana/Gene/Summary?g=AT5G65980","AT5G65980")</f>
        <v>AT5G65980</v>
      </c>
      <c r="J75" s="9" t="str">
        <f>HYPERLINK("http://plants.ensembl.org/Oryza_sativa/Gene/Summary?db=otherfeatures;g=LOC_Os09g38130","LOC_Os09g38130")</f>
        <v>LOC_Os09g38130</v>
      </c>
      <c r="L75" s="6"/>
      <c r="M75" s="1" t="s">
        <v>973</v>
      </c>
      <c r="N75" s="1" t="s">
        <v>973</v>
      </c>
      <c r="O75" s="1" t="s">
        <v>973</v>
      </c>
      <c r="P75" s="1">
        <v>1</v>
      </c>
      <c r="Q75" s="1" t="s">
        <v>973</v>
      </c>
      <c r="R75" s="1" t="s">
        <v>973</v>
      </c>
      <c r="S75" s="1"/>
      <c r="T75" s="6"/>
      <c r="U75" s="11">
        <v>10.839386187189136</v>
      </c>
      <c r="V75" s="11">
        <v>11.130813115091243</v>
      </c>
      <c r="W75" s="11">
        <v>9.1545705517171942</v>
      </c>
      <c r="X75" s="11">
        <v>9.921495789256122</v>
      </c>
      <c r="Y75" s="11">
        <v>9.8980047888917202</v>
      </c>
      <c r="Z75" s="11">
        <v>9.8198264378833944</v>
      </c>
      <c r="AA75" s="11">
        <v>9.1810981599649377</v>
      </c>
      <c r="AB75" s="11">
        <v>9.8509572155156704</v>
      </c>
      <c r="AC75" s="11">
        <v>6.1120627321606422</v>
      </c>
      <c r="AD75" s="11">
        <v>4.4302964254937409</v>
      </c>
      <c r="AE75" s="11">
        <v>5.9281002365984978</v>
      </c>
      <c r="AF75" s="11">
        <v>5.0528013265087566</v>
      </c>
      <c r="AG75" s="11">
        <v>5.6960912140009778</v>
      </c>
      <c r="AH75" s="11">
        <v>4.0696277045070746</v>
      </c>
      <c r="AI75" s="11">
        <v>6.5660885507794848</v>
      </c>
      <c r="AJ75" s="11">
        <v>5.915839552336001</v>
      </c>
      <c r="AK75" s="6"/>
      <c r="AL75" t="s">
        <v>1077</v>
      </c>
      <c r="AM75">
        <v>1016</v>
      </c>
      <c r="AN75" s="6"/>
      <c r="AO75" s="20">
        <v>4.7279999999999998</v>
      </c>
      <c r="AP75" s="20">
        <v>6.4791999999999996</v>
      </c>
      <c r="AQ75" s="20">
        <v>3.2223000000000002</v>
      </c>
      <c r="AR75" s="20">
        <v>4.8648999999999996</v>
      </c>
      <c r="AS75" s="20">
        <v>4.1928000000000001</v>
      </c>
      <c r="AT75" s="20">
        <v>5.7840999999999996</v>
      </c>
      <c r="AU75" s="20">
        <v>2.6071</v>
      </c>
      <c r="AV75" s="20">
        <v>3.9260999999999999</v>
      </c>
      <c r="AW75" s="6"/>
      <c r="AX75" s="18">
        <v>1.4470000000000001E-31</v>
      </c>
      <c r="AY75" s="18">
        <v>1.8259999999999998E-45</v>
      </c>
      <c r="AZ75" s="18">
        <v>1.5129999999999999E-15</v>
      </c>
      <c r="BA75" s="18">
        <v>9.8920000000000008E-32</v>
      </c>
      <c r="BB75" s="18">
        <v>1.5649999999999999E-25</v>
      </c>
      <c r="BC75" s="18">
        <v>6.3800000000000002E-40</v>
      </c>
      <c r="BD75" s="18">
        <v>6.8029999999999997E-11</v>
      </c>
      <c r="BE75" s="18">
        <v>2.1659999999999998E-22</v>
      </c>
      <c r="BF75" s="13"/>
      <c r="BG75" t="s">
        <v>1131</v>
      </c>
      <c r="BH75" t="s">
        <v>1144</v>
      </c>
      <c r="BI75" t="s">
        <v>1113</v>
      </c>
      <c r="BJ75" t="s">
        <v>1114</v>
      </c>
      <c r="BK75" t="s">
        <v>1115</v>
      </c>
      <c r="BL75" t="s">
        <v>1116</v>
      </c>
      <c r="BM75" t="s">
        <v>1117</v>
      </c>
      <c r="BN75" s="13"/>
      <c r="BO75" t="s">
        <v>973</v>
      </c>
      <c r="BP75" t="s">
        <v>973</v>
      </c>
      <c r="BQ75" t="s">
        <v>973</v>
      </c>
      <c r="BR75" t="s">
        <v>973</v>
      </c>
    </row>
    <row r="76" spans="1:70" x14ac:dyDescent="0.25">
      <c r="A76" t="s">
        <v>761</v>
      </c>
      <c r="B76" t="s">
        <v>762</v>
      </c>
      <c r="C76" t="s">
        <v>763</v>
      </c>
      <c r="D76" s="6"/>
      <c r="H76" s="1" t="s">
        <v>1051</v>
      </c>
      <c r="I76" s="1" t="s">
        <v>1051</v>
      </c>
      <c r="J76" s="1" t="s">
        <v>1051</v>
      </c>
      <c r="L76" s="6"/>
      <c r="M76" s="1" t="s">
        <v>973</v>
      </c>
      <c r="N76" s="1" t="s">
        <v>973</v>
      </c>
      <c r="O76" s="1" t="s">
        <v>973</v>
      </c>
      <c r="P76" s="1">
        <v>1</v>
      </c>
      <c r="Q76" s="1" t="s">
        <v>973</v>
      </c>
      <c r="R76" s="1" t="s">
        <v>973</v>
      </c>
      <c r="S76" s="1"/>
      <c r="T76" s="6"/>
      <c r="U76" s="11">
        <v>6.1405584998614566</v>
      </c>
      <c r="V76" s="11">
        <v>1.7741088115671881</v>
      </c>
      <c r="W76" s="11">
        <v>5.6072454758545121</v>
      </c>
      <c r="X76" s="11">
        <v>5.8856727857435063</v>
      </c>
      <c r="Y76" s="11">
        <v>5.6368102015369201</v>
      </c>
      <c r="Z76" s="11">
        <v>5.4330840792383359</v>
      </c>
      <c r="AA76" s="11">
        <v>5.4343313188008038</v>
      </c>
      <c r="AB76" s="11">
        <v>5.3192530237737712</v>
      </c>
      <c r="AC76" s="11">
        <v>4.6415402490477362</v>
      </c>
      <c r="AD76" s="11">
        <v>6.2296443169669615</v>
      </c>
      <c r="AE76" s="11">
        <v>6.2362821302756979</v>
      </c>
      <c r="AF76" s="11">
        <v>7.4577250599886575</v>
      </c>
      <c r="AG76" s="11">
        <v>4.4000733507044192</v>
      </c>
      <c r="AH76" s="11">
        <v>6.4892410581438522</v>
      </c>
      <c r="AI76" s="11">
        <v>4.3943929519458989</v>
      </c>
      <c r="AJ76" s="11">
        <v>7.2919847345310673</v>
      </c>
      <c r="AK76" s="6"/>
      <c r="AL76" t="s">
        <v>1106</v>
      </c>
      <c r="AM76">
        <v>0</v>
      </c>
      <c r="AN76" s="6"/>
      <c r="AO76" s="20">
        <v>1.4754</v>
      </c>
      <c r="AP76" s="20">
        <v>-4.1734999999999998</v>
      </c>
      <c r="AQ76" s="20">
        <v>-0.626</v>
      </c>
      <c r="AR76" s="20">
        <v>-1.5622</v>
      </c>
      <c r="AS76" s="20">
        <v>1.2619</v>
      </c>
      <c r="AT76" s="20">
        <v>-1.0624</v>
      </c>
      <c r="AU76" s="20">
        <v>1.0661</v>
      </c>
      <c r="AV76" s="20">
        <v>-1.9685999999999999</v>
      </c>
      <c r="AW76" s="6"/>
      <c r="AX76" s="18">
        <v>1.6140000000000002E-2</v>
      </c>
      <c r="AY76" s="18">
        <v>5.4999999999999999E-6</v>
      </c>
      <c r="AZ76" s="18">
        <v>0.28699999999999998</v>
      </c>
      <c r="BA76" s="18">
        <v>7.5119999999999996E-3</v>
      </c>
      <c r="BB76" s="18">
        <v>3.4930000000000003E-2</v>
      </c>
      <c r="BC76" s="18">
        <v>7.1360000000000007E-2</v>
      </c>
      <c r="BD76" s="18">
        <v>7.6910000000000006E-2</v>
      </c>
      <c r="BE76" s="18">
        <v>8.3869999999999995E-4</v>
      </c>
      <c r="BF76" s="13"/>
      <c r="BG76" t="s">
        <v>1320</v>
      </c>
      <c r="BH76" t="s">
        <v>1112</v>
      </c>
      <c r="BI76" t="s">
        <v>1113</v>
      </c>
      <c r="BJ76" t="s">
        <v>1114</v>
      </c>
      <c r="BK76" t="s">
        <v>1263</v>
      </c>
      <c r="BL76" t="s">
        <v>1116</v>
      </c>
      <c r="BM76" t="s">
        <v>1117</v>
      </c>
      <c r="BN76" s="13"/>
      <c r="BO76" t="s">
        <v>973</v>
      </c>
      <c r="BP76" t="s">
        <v>973</v>
      </c>
      <c r="BQ76" t="s">
        <v>973</v>
      </c>
      <c r="BR76" t="s">
        <v>973</v>
      </c>
    </row>
    <row r="77" spans="1:70" x14ac:dyDescent="0.25">
      <c r="A77" t="s">
        <v>874</v>
      </c>
      <c r="B77" t="s">
        <v>875</v>
      </c>
      <c r="C77" t="s">
        <v>763</v>
      </c>
      <c r="D77" s="6"/>
      <c r="E77" s="9" t="str">
        <f>HYPERLINK("http://plants.ensembl.org/Triticum_aestivum/Gene/Summary?g=TRIAE_CS42_7AL_TGACv1_557921_AA1787770","TRIAE_CS42_7AL_TGACv1_557921_AA1787770")</f>
        <v>TRIAE_CS42_7AL_TGACv1_557921_AA1787770</v>
      </c>
      <c r="H77" s="8" t="str">
        <f>HYPERLINK("http://plants.ensembl.org/Brachypodium_distachyon/Gene/Summary?g=Bradi2g48540","Bradi2g48540")</f>
        <v>Bradi2g48540</v>
      </c>
      <c r="I77" s="1" t="s">
        <v>1051</v>
      </c>
      <c r="J77" s="9" t="str">
        <f>HYPERLINK("http://plants.ensembl.org/Oryza_sativa/Gene/Summary?db=otherfeatures;g=LOC_Os01g32670","LOC_Os01g32670")</f>
        <v>LOC_Os01g32670</v>
      </c>
      <c r="L77" s="6"/>
      <c r="M77" s="1" t="s">
        <v>973</v>
      </c>
      <c r="N77" s="1" t="s">
        <v>973</v>
      </c>
      <c r="O77" s="1" t="s">
        <v>973</v>
      </c>
      <c r="P77" s="1">
        <v>1</v>
      </c>
      <c r="Q77" s="1" t="s">
        <v>973</v>
      </c>
      <c r="R77" s="1" t="s">
        <v>973</v>
      </c>
      <c r="S77" s="1"/>
      <c r="T77" s="6"/>
      <c r="U77" s="11">
        <v>11.230337949834002</v>
      </c>
      <c r="V77" s="11">
        <v>11.829507398102532</v>
      </c>
      <c r="W77" s="11">
        <v>9.0858491616513586</v>
      </c>
      <c r="X77" s="11">
        <v>9.3808073569183872</v>
      </c>
      <c r="Y77" s="11">
        <v>10.210088425940175</v>
      </c>
      <c r="Z77" s="11">
        <v>9.6911314214809838</v>
      </c>
      <c r="AA77" s="11">
        <v>8.998561472134897</v>
      </c>
      <c r="AB77" s="11">
        <v>8.6439462351800564</v>
      </c>
      <c r="AC77" s="11">
        <v>4.0284365454554774</v>
      </c>
      <c r="AD77" s="11">
        <v>0.70327792398137323</v>
      </c>
      <c r="AE77" s="11">
        <v>1.9545189415869944</v>
      </c>
      <c r="AF77" s="11">
        <v>0.73768676140986023</v>
      </c>
      <c r="AG77" s="11">
        <v>1.3207734769458706</v>
      </c>
      <c r="AH77" s="11">
        <v>0.93384956884357728</v>
      </c>
      <c r="AI77" s="11">
        <v>0.82034918187628869</v>
      </c>
      <c r="AJ77" s="11">
        <v>1.0169003795657994</v>
      </c>
      <c r="AK77" s="6"/>
      <c r="AL77" t="s">
        <v>1077</v>
      </c>
      <c r="AM77">
        <v>1430</v>
      </c>
      <c r="AN77" s="6"/>
      <c r="AO77" s="20">
        <v>7.1608000000000001</v>
      </c>
      <c r="AP77" s="20">
        <v>11.085900000000001</v>
      </c>
      <c r="AQ77" s="20">
        <v>7.3316999999999997</v>
      </c>
      <c r="AR77" s="20">
        <v>9.1498000000000008</v>
      </c>
      <c r="AS77" s="20">
        <v>9.2550000000000008</v>
      </c>
      <c r="AT77" s="20">
        <v>9.2733000000000008</v>
      </c>
      <c r="AU77" s="20">
        <v>8.8031000000000006</v>
      </c>
      <c r="AV77" s="20">
        <v>8.1419999999999995</v>
      </c>
      <c r="AW77" s="6"/>
      <c r="AX77" s="18">
        <v>1.087E-21</v>
      </c>
      <c r="AY77" s="18">
        <v>4.494E-28</v>
      </c>
      <c r="AZ77" s="18">
        <v>4.8329999999999996E-19</v>
      </c>
      <c r="BA77" s="18">
        <v>1.1090000000000001E-20</v>
      </c>
      <c r="BB77" s="18">
        <v>2.455E-28</v>
      </c>
      <c r="BC77" s="18">
        <v>9.8410000000000003E-22</v>
      </c>
      <c r="BD77" s="18">
        <v>8.4839999999999995E-20</v>
      </c>
      <c r="BE77" s="18">
        <v>1.549E-18</v>
      </c>
      <c r="BF77" s="13"/>
      <c r="BG77" t="s">
        <v>1131</v>
      </c>
      <c r="BH77" t="s">
        <v>1144</v>
      </c>
      <c r="BI77" t="s">
        <v>1113</v>
      </c>
      <c r="BJ77" t="s">
        <v>1114</v>
      </c>
      <c r="BK77" t="s">
        <v>1115</v>
      </c>
      <c r="BL77" t="s">
        <v>1116</v>
      </c>
      <c r="BM77" t="s">
        <v>1117</v>
      </c>
      <c r="BN77" s="13"/>
      <c r="BO77" t="s">
        <v>973</v>
      </c>
      <c r="BP77" t="s">
        <v>973</v>
      </c>
      <c r="BQ77" t="s">
        <v>973</v>
      </c>
      <c r="BR77" t="s">
        <v>973</v>
      </c>
    </row>
    <row r="78" spans="1:70" x14ac:dyDescent="0.25">
      <c r="A78" t="s">
        <v>692</v>
      </c>
      <c r="B78" t="s">
        <v>693</v>
      </c>
      <c r="C78" t="s">
        <v>694</v>
      </c>
      <c r="D78" s="6"/>
      <c r="E78" s="9" t="str">
        <f>HYPERLINK("http://plants.ensembl.org/Triticum_aestivum/Gene/Summary?g=TRIAE_CS42_5BL_TGACv1_405256_AA1323390","TRIAE_CS42_5BL_TGACv1_405256_AA1323390")</f>
        <v>TRIAE_CS42_5BL_TGACv1_405256_AA1323390</v>
      </c>
      <c r="F78" s="9" t="str">
        <f>HYPERLINK("http://mar2016-plants.ensembl.org/Triticum_aestivum/Gene/Summary?db=core;g=Traes_5BL_A448C81F0","Traes_5BL_A448C81F0")</f>
        <v>Traes_5BL_A448C81F0</v>
      </c>
      <c r="H78" s="8" t="str">
        <f>HYPERLINK("http://plants.ensembl.org/Brachypodium_distachyon/Gene/Summary?g=Bradi4g33860","Bradi4g33860")</f>
        <v>Bradi4g33860</v>
      </c>
      <c r="I78" s="1" t="s">
        <v>1051</v>
      </c>
      <c r="J78" s="9" t="str">
        <f>HYPERLINK("http://plants.ensembl.org/Oryza_sativa/Gene/Summary?db=otherfeatures;g=LOC_Os09g31478","LOC_Os09g31478")</f>
        <v>LOC_Os09g31478</v>
      </c>
      <c r="L78" s="6"/>
      <c r="M78" s="1" t="s">
        <v>973</v>
      </c>
      <c r="N78" s="1" t="s">
        <v>973</v>
      </c>
      <c r="O78" s="1" t="s">
        <v>973</v>
      </c>
      <c r="P78" s="1">
        <v>1</v>
      </c>
      <c r="Q78" s="1" t="s">
        <v>973</v>
      </c>
      <c r="R78" s="1" t="s">
        <v>973</v>
      </c>
      <c r="S78" s="1"/>
      <c r="T78" s="6"/>
      <c r="U78" s="11">
        <v>8.566972401229533</v>
      </c>
      <c r="V78" s="11">
        <v>8.0132286776531743</v>
      </c>
      <c r="W78" s="11">
        <v>8.0480743050364367</v>
      </c>
      <c r="X78" s="11">
        <v>7.8779337752409324</v>
      </c>
      <c r="Y78" s="11">
        <v>7.9935877566946338</v>
      </c>
      <c r="Z78" s="11">
        <v>7.5158096786430129</v>
      </c>
      <c r="AA78" s="11">
        <v>7.4912555900019688</v>
      </c>
      <c r="AB78" s="11">
        <v>7.9167200587853053</v>
      </c>
      <c r="AC78" s="11">
        <v>6.1245969608080797</v>
      </c>
      <c r="AD78" s="11">
        <v>4.6272352223750142</v>
      </c>
      <c r="AE78" s="11">
        <v>6.5183342261417341</v>
      </c>
      <c r="AF78" s="11">
        <v>5.6229088820842339</v>
      </c>
      <c r="AG78" s="11">
        <v>5.9702769517866168</v>
      </c>
      <c r="AH78" s="11">
        <v>4.8932715945014547</v>
      </c>
      <c r="AI78" s="11">
        <v>6.5830682213518328</v>
      </c>
      <c r="AJ78" s="11">
        <v>5.8612498851322608</v>
      </c>
      <c r="AK78" s="6"/>
      <c r="AL78" t="s">
        <v>1077</v>
      </c>
      <c r="AM78">
        <v>564</v>
      </c>
      <c r="AN78" s="6"/>
      <c r="AO78" s="20">
        <v>2.4843999999999999</v>
      </c>
      <c r="AP78" s="20">
        <v>3.0430999999999999</v>
      </c>
      <c r="AQ78" s="20">
        <v>1.5329999999999999</v>
      </c>
      <c r="AR78" s="20">
        <v>2.2665000000000002</v>
      </c>
      <c r="AS78" s="20">
        <v>2.0287999999999999</v>
      </c>
      <c r="AT78" s="20">
        <v>2.6438999999999999</v>
      </c>
      <c r="AU78" s="20">
        <v>0.91059999999999997</v>
      </c>
      <c r="AV78" s="20">
        <v>2.0672000000000001</v>
      </c>
      <c r="AW78" s="6"/>
      <c r="AX78" s="18">
        <v>1.0889999999999999E-18</v>
      </c>
      <c r="AY78" s="18">
        <v>3.4870000000000002E-19</v>
      </c>
      <c r="AZ78" s="18">
        <v>1.6639999999999999E-8</v>
      </c>
      <c r="BA78" s="18">
        <v>1.517E-15</v>
      </c>
      <c r="BB78" s="18">
        <v>9.6490000000000001E-14</v>
      </c>
      <c r="BC78" s="18">
        <v>1.237E-18</v>
      </c>
      <c r="BD78" s="18">
        <v>8.0500000000000005E-4</v>
      </c>
      <c r="BE78" s="18">
        <v>1.2009999999999999E-13</v>
      </c>
      <c r="BF78" s="13"/>
      <c r="BG78" t="s">
        <v>1190</v>
      </c>
      <c r="BH78" t="s">
        <v>1193</v>
      </c>
      <c r="BI78" t="s">
        <v>1113</v>
      </c>
      <c r="BJ78" t="s">
        <v>1114</v>
      </c>
      <c r="BK78" t="s">
        <v>1115</v>
      </c>
      <c r="BL78" t="s">
        <v>1116</v>
      </c>
      <c r="BM78" t="s">
        <v>1117</v>
      </c>
      <c r="BN78" s="13"/>
      <c r="BO78" t="s">
        <v>973</v>
      </c>
      <c r="BP78" t="s">
        <v>973</v>
      </c>
      <c r="BQ78" t="s">
        <v>973</v>
      </c>
      <c r="BR78" t="s">
        <v>973</v>
      </c>
    </row>
    <row r="79" spans="1:70" x14ac:dyDescent="0.25">
      <c r="A79" t="s">
        <v>332</v>
      </c>
      <c r="B79" t="s">
        <v>333</v>
      </c>
      <c r="C79" t="s">
        <v>334</v>
      </c>
      <c r="D79" s="6"/>
      <c r="H79" s="8" t="str">
        <f>HYPERLINK("http://plants.ensembl.org/Brachypodium_distachyon/Gene/Summary?g=Bradi2g53360","Bradi2g53360")</f>
        <v>Bradi2g53360</v>
      </c>
      <c r="I79" s="8" t="str">
        <f>HYPERLINK("http://plants.ensembl.org/Arabidopsis_thaliana/Gene/Summary?g=AT5G01990","AT5G01990")</f>
        <v>AT5G01990</v>
      </c>
      <c r="J79" s="9" t="str">
        <f>HYPERLINK("http://plants.ensembl.org/Oryza_sativa/Gene/Summary?db=otherfeatures;g=LOC_Os01g60230","LOC_Os01g60230")</f>
        <v>LOC_Os01g60230</v>
      </c>
      <c r="L79" s="6"/>
      <c r="M79" s="1" t="s">
        <v>973</v>
      </c>
      <c r="N79" s="1" t="s">
        <v>973</v>
      </c>
      <c r="O79" s="1" t="s">
        <v>973</v>
      </c>
      <c r="P79" s="1">
        <v>1</v>
      </c>
      <c r="Q79" s="1" t="s">
        <v>973</v>
      </c>
      <c r="R79" s="1" t="s">
        <v>973</v>
      </c>
      <c r="S79" s="1"/>
      <c r="T79" s="6"/>
      <c r="U79" s="11">
        <v>9.2260332047507259</v>
      </c>
      <c r="V79" s="11">
        <v>9.0128544020659227</v>
      </c>
      <c r="W79" s="11">
        <v>8.7525592787750419</v>
      </c>
      <c r="X79" s="11">
        <v>9.3468755065585825</v>
      </c>
      <c r="Y79" s="11">
        <v>8.7494927024364255</v>
      </c>
      <c r="Z79" s="11">
        <v>8.49266344958213</v>
      </c>
      <c r="AA79" s="11">
        <v>8.379960670871391</v>
      </c>
      <c r="AB79" s="11">
        <v>8.8295663025276188</v>
      </c>
      <c r="AC79" s="11">
        <v>7.7907809417508114</v>
      </c>
      <c r="AD79" s="11">
        <v>7.2098299118796998</v>
      </c>
      <c r="AE79" s="11">
        <v>7.6640904926755562</v>
      </c>
      <c r="AF79" s="11">
        <v>7.6618918465262462</v>
      </c>
      <c r="AG79" s="11">
        <v>7.4676495638365807</v>
      </c>
      <c r="AH79" s="11">
        <v>7.007495657812064</v>
      </c>
      <c r="AI79" s="11">
        <v>7.5985748783622356</v>
      </c>
      <c r="AJ79" s="11">
        <v>7.8913175108533364</v>
      </c>
      <c r="AK79" s="6"/>
      <c r="AL79" t="s">
        <v>1077</v>
      </c>
      <c r="AM79">
        <v>714</v>
      </c>
      <c r="AN79" s="6"/>
      <c r="AO79" s="20">
        <v>1.4392</v>
      </c>
      <c r="AP79" s="20">
        <v>1.7399</v>
      </c>
      <c r="AQ79" s="20">
        <v>1.0865</v>
      </c>
      <c r="AR79" s="20">
        <v>1.6805000000000001</v>
      </c>
      <c r="AS79" s="20">
        <v>1.2829999999999999</v>
      </c>
      <c r="AT79" s="20">
        <v>1.4844999999999999</v>
      </c>
      <c r="AU79" s="20">
        <v>0.78190000000000004</v>
      </c>
      <c r="AV79" s="20">
        <v>0.93710000000000004</v>
      </c>
      <c r="AW79" s="6"/>
      <c r="AX79" s="18">
        <v>4.0219999999999999E-7</v>
      </c>
      <c r="AY79" s="18">
        <v>1.092E-8</v>
      </c>
      <c r="AZ79" s="18">
        <v>1.1010000000000001E-4</v>
      </c>
      <c r="BA79" s="18">
        <v>2.2429999999999998E-9</v>
      </c>
      <c r="BB79" s="18">
        <v>4.7310000000000001E-6</v>
      </c>
      <c r="BC79" s="18">
        <v>1.9420000000000001E-7</v>
      </c>
      <c r="BD79" s="18">
        <v>5.4339999999999996E-3</v>
      </c>
      <c r="BE79" s="18">
        <v>8.3509999999999997E-4</v>
      </c>
      <c r="BF79" s="13"/>
      <c r="BG79" t="s">
        <v>1215</v>
      </c>
      <c r="BH79" t="s">
        <v>1112</v>
      </c>
      <c r="BI79" t="s">
        <v>1113</v>
      </c>
      <c r="BJ79" t="s">
        <v>1114</v>
      </c>
      <c r="BK79" t="s">
        <v>1115</v>
      </c>
      <c r="BL79" t="s">
        <v>1116</v>
      </c>
      <c r="BM79" t="s">
        <v>1117</v>
      </c>
      <c r="BN79" s="13"/>
      <c r="BO79" t="s">
        <v>973</v>
      </c>
      <c r="BP79" t="s">
        <v>973</v>
      </c>
      <c r="BQ79" t="s">
        <v>973</v>
      </c>
      <c r="BR79" t="s">
        <v>973</v>
      </c>
    </row>
    <row r="80" spans="1:70" x14ac:dyDescent="0.25">
      <c r="A80" t="s">
        <v>392</v>
      </c>
      <c r="B80" t="s">
        <v>333</v>
      </c>
      <c r="C80" t="s">
        <v>334</v>
      </c>
      <c r="D80" s="6"/>
      <c r="E80" s="9" t="str">
        <f>HYPERLINK("http://plants.ensembl.org/Triticum_aestivum/Gene/Summary?g=TRIAE_CS42_3B_TGACv1_227114_AA0821440","TRIAE_CS42_3B_TGACv1_227114_AA0821440")</f>
        <v>TRIAE_CS42_3B_TGACv1_227114_AA0821440</v>
      </c>
      <c r="F80" s="9" t="str">
        <f>HYPERLINK("http://mar2016-plants.ensembl.org/Triticum_aestivum/Gene/Summary?db=core;g=TRAES3BF057600030CFD","TRAES3BF057600030CFD")</f>
        <v>TRAES3BF057600030CFD</v>
      </c>
      <c r="H80" s="8" t="str">
        <f>HYPERLINK("http://plants.ensembl.org/Brachypodium_distachyon/Gene/Summary?g=Bradi2g53360","Bradi2g53360")</f>
        <v>Bradi2g53360</v>
      </c>
      <c r="I80" s="8" t="str">
        <f>HYPERLINK("http://plants.ensembl.org/Arabidopsis_thaliana/Gene/Summary?g=AT5G01990","AT5G01990")</f>
        <v>AT5G01990</v>
      </c>
      <c r="J80" s="9" t="str">
        <f>HYPERLINK("http://plants.ensembl.org/Oryza_sativa/Gene/Summary?db=otherfeatures;g=LOC_Os01g60230","LOC_Os01g60230")</f>
        <v>LOC_Os01g60230</v>
      </c>
      <c r="L80" s="6"/>
      <c r="M80" s="1" t="s">
        <v>973</v>
      </c>
      <c r="N80" s="1" t="s">
        <v>973</v>
      </c>
      <c r="O80" s="1" t="s">
        <v>973</v>
      </c>
      <c r="P80" s="1">
        <v>1</v>
      </c>
      <c r="Q80" s="1" t="s">
        <v>973</v>
      </c>
      <c r="R80" s="1" t="s">
        <v>973</v>
      </c>
      <c r="S80" s="1"/>
      <c r="T80" s="6"/>
      <c r="U80" s="11">
        <v>9.510009233601167</v>
      </c>
      <c r="V80" s="11">
        <v>9.6257283223596737</v>
      </c>
      <c r="W80" s="11">
        <v>8.7378852444966348</v>
      </c>
      <c r="X80" s="11">
        <v>8.7094479163883616</v>
      </c>
      <c r="Y80" s="11">
        <v>8.737247230339193</v>
      </c>
      <c r="Z80" s="11">
        <v>8.6336829479761974</v>
      </c>
      <c r="AA80" s="11">
        <v>8.8098046711637821</v>
      </c>
      <c r="AB80" s="11">
        <v>9.2316571240062562</v>
      </c>
      <c r="AC80" s="11">
        <v>8.9948455665142877</v>
      </c>
      <c r="AD80" s="11">
        <v>7.929923719872769</v>
      </c>
      <c r="AE80" s="11">
        <v>8.2953469676278999</v>
      </c>
      <c r="AF80" s="11">
        <v>7.9197742718028596</v>
      </c>
      <c r="AG80" s="11">
        <v>8.1836686263413334</v>
      </c>
      <c r="AH80" s="11">
        <v>7.8783761084956696</v>
      </c>
      <c r="AI80" s="11">
        <v>8.6131616742316783</v>
      </c>
      <c r="AJ80" s="11">
        <v>8.4897104396985625</v>
      </c>
      <c r="AK80" s="6"/>
      <c r="AL80" t="s">
        <v>1077</v>
      </c>
      <c r="AM80">
        <v>0</v>
      </c>
      <c r="AN80" s="6"/>
      <c r="AO80" s="20">
        <v>0.51370000000000005</v>
      </c>
      <c r="AP80" s="20">
        <v>1.6191</v>
      </c>
      <c r="AQ80" s="20">
        <v>0.44230000000000003</v>
      </c>
      <c r="AR80" s="20">
        <v>0.79959999999999998</v>
      </c>
      <c r="AS80" s="20">
        <v>0.55559999999999998</v>
      </c>
      <c r="AT80" s="20">
        <v>0.75319999999999998</v>
      </c>
      <c r="AU80" s="20">
        <v>0.19800000000000001</v>
      </c>
      <c r="AV80" s="20">
        <v>0.7419</v>
      </c>
      <c r="AW80" s="6"/>
      <c r="AX80" s="18">
        <v>3.8839999999999999E-3</v>
      </c>
      <c r="AY80" s="18">
        <v>1.7369999999999999E-16</v>
      </c>
      <c r="AZ80" s="18">
        <v>1.225E-2</v>
      </c>
      <c r="BA80" s="18">
        <v>8.3459999999999994E-6</v>
      </c>
      <c r="BB80" s="18">
        <v>1.593E-3</v>
      </c>
      <c r="BC80" s="18">
        <v>2.7160000000000001E-5</v>
      </c>
      <c r="BD80" s="18">
        <v>0.25729999999999997</v>
      </c>
      <c r="BE80" s="18">
        <v>2.3459999999999999E-5</v>
      </c>
      <c r="BF80" s="13"/>
      <c r="BG80" t="s">
        <v>1125</v>
      </c>
      <c r="BH80" t="s">
        <v>1112</v>
      </c>
      <c r="BI80" t="s">
        <v>1113</v>
      </c>
      <c r="BJ80" t="s">
        <v>1114</v>
      </c>
      <c r="BK80" t="s">
        <v>1182</v>
      </c>
      <c r="BL80" t="s">
        <v>1116</v>
      </c>
      <c r="BM80" t="s">
        <v>1117</v>
      </c>
      <c r="BN80" s="13"/>
      <c r="BO80" t="s">
        <v>973</v>
      </c>
      <c r="BP80" t="s">
        <v>973</v>
      </c>
      <c r="BQ80" t="s">
        <v>973</v>
      </c>
      <c r="BR80" t="s">
        <v>973</v>
      </c>
    </row>
    <row r="81" spans="1:70" x14ac:dyDescent="0.25">
      <c r="A81" t="s">
        <v>431</v>
      </c>
      <c r="B81" t="s">
        <v>333</v>
      </c>
      <c r="C81" t="s">
        <v>334</v>
      </c>
      <c r="D81" s="6"/>
      <c r="H81" s="8" t="str">
        <f>HYPERLINK("http://plants.ensembl.org/Brachypodium_distachyon/Gene/Summary?g=Bradi2g53360","Bradi2g53360")</f>
        <v>Bradi2g53360</v>
      </c>
      <c r="I81" s="8" t="str">
        <f>HYPERLINK("http://plants.ensembl.org/Arabidopsis_thaliana/Gene/Summary?g=AT5G01990","AT5G01990")</f>
        <v>AT5G01990</v>
      </c>
      <c r="J81" s="9" t="str">
        <f>HYPERLINK("http://plants.ensembl.org/Oryza_sativa/Gene/Summary?db=otherfeatures;g=LOC_Os01g60230","LOC_Os01g60230")</f>
        <v>LOC_Os01g60230</v>
      </c>
      <c r="L81" s="6"/>
      <c r="M81" s="1" t="s">
        <v>973</v>
      </c>
      <c r="N81" s="1" t="s">
        <v>973</v>
      </c>
      <c r="O81" s="1" t="s">
        <v>973</v>
      </c>
      <c r="P81" s="1">
        <v>1</v>
      </c>
      <c r="Q81" s="1" t="s">
        <v>973</v>
      </c>
      <c r="R81" s="1" t="s">
        <v>973</v>
      </c>
      <c r="S81" s="1"/>
      <c r="T81" s="6"/>
      <c r="U81" s="11">
        <v>9.8023013719244965</v>
      </c>
      <c r="V81" s="11">
        <v>9.6063335234401706</v>
      </c>
      <c r="W81" s="11">
        <v>9.3117732866935601</v>
      </c>
      <c r="X81" s="11">
        <v>9.5485370010273165</v>
      </c>
      <c r="Y81" s="11">
        <v>9.3453755275591988</v>
      </c>
      <c r="Z81" s="11">
        <v>9.219042238775593</v>
      </c>
      <c r="AA81" s="11">
        <v>9.0918058640951411</v>
      </c>
      <c r="AB81" s="11">
        <v>9.453124299032444</v>
      </c>
      <c r="AC81" s="11">
        <v>9.3169873555503777</v>
      </c>
      <c r="AD81" s="11">
        <v>8.407214503238496</v>
      </c>
      <c r="AE81" s="11">
        <v>9.0047667233475597</v>
      </c>
      <c r="AF81" s="11">
        <v>8.7880117909892803</v>
      </c>
      <c r="AG81" s="11">
        <v>9.0484727058128271</v>
      </c>
      <c r="AH81" s="11">
        <v>8.4516850623438717</v>
      </c>
      <c r="AI81" s="11">
        <v>8.9892546469755157</v>
      </c>
      <c r="AJ81" s="11">
        <v>8.9751783754009988</v>
      </c>
      <c r="AK81" s="6"/>
      <c r="AL81" t="s">
        <v>1077</v>
      </c>
      <c r="AM81">
        <v>0</v>
      </c>
      <c r="AN81" s="6"/>
      <c r="AO81" s="20">
        <v>0.48559999999999998</v>
      </c>
      <c r="AP81" s="20">
        <v>1.2128000000000001</v>
      </c>
      <c r="AQ81" s="20">
        <v>0.30630000000000002</v>
      </c>
      <c r="AR81" s="20">
        <v>0.76149999999999995</v>
      </c>
      <c r="AS81" s="20">
        <v>0.29730000000000001</v>
      </c>
      <c r="AT81" s="20">
        <v>0.76659999999999995</v>
      </c>
      <c r="AU81" s="20">
        <v>0.1024</v>
      </c>
      <c r="AV81" s="20">
        <v>0.47739999999999999</v>
      </c>
      <c r="AW81" s="6"/>
      <c r="AX81" s="18">
        <v>3.3509999999999998E-3</v>
      </c>
      <c r="AY81" s="18">
        <v>3.1830000000000001E-11</v>
      </c>
      <c r="AZ81" s="18">
        <v>5.9830000000000001E-2</v>
      </c>
      <c r="BA81" s="18">
        <v>3.298E-6</v>
      </c>
      <c r="BB81" s="18">
        <v>6.6669999999999993E-2</v>
      </c>
      <c r="BC81" s="18">
        <v>3.4790000000000001E-6</v>
      </c>
      <c r="BD81" s="18">
        <v>0.5292</v>
      </c>
      <c r="BE81" s="18">
        <v>3.4129999999999998E-3</v>
      </c>
      <c r="BF81" s="13"/>
      <c r="BG81" t="s">
        <v>1125</v>
      </c>
      <c r="BH81" t="s">
        <v>1112</v>
      </c>
      <c r="BI81" t="s">
        <v>1113</v>
      </c>
      <c r="BJ81" t="s">
        <v>1114</v>
      </c>
      <c r="BK81" t="s">
        <v>1115</v>
      </c>
      <c r="BL81" t="s">
        <v>1116</v>
      </c>
      <c r="BM81" t="s">
        <v>1117</v>
      </c>
      <c r="BN81" s="13"/>
      <c r="BO81" t="s">
        <v>973</v>
      </c>
      <c r="BP81" t="s">
        <v>973</v>
      </c>
      <c r="BQ81" t="s">
        <v>973</v>
      </c>
      <c r="BR81" t="s">
        <v>973</v>
      </c>
    </row>
    <row r="82" spans="1:70" x14ac:dyDescent="0.25">
      <c r="A82" t="s">
        <v>446</v>
      </c>
      <c r="B82" t="s">
        <v>447</v>
      </c>
      <c r="C82" t="s">
        <v>448</v>
      </c>
      <c r="D82" s="6"/>
      <c r="E82" s="9" t="str">
        <f>HYPERLINK("http://plants.ensembl.org/Triticum_aestivum/Gene/Summary?g=TRIAE_CS42_3DL_TGACv1_251106_AA0877490","TRIAE_CS42_3DL_TGACv1_251106_AA0877490")</f>
        <v>TRIAE_CS42_3DL_TGACv1_251106_AA0877490</v>
      </c>
      <c r="F82" s="9" t="str">
        <f>HYPERLINK("http://mar2016-plants.ensembl.org/Triticum_aestivum/Gene/Summary?db=core;g=Traes_3DL_F8AB0A20A","Traes_3DL_F8AB0A20A")</f>
        <v>Traes_3DL_F8AB0A20A</v>
      </c>
      <c r="H82" s="8" t="str">
        <f>HYPERLINK("http://plants.ensembl.org/Brachypodium_distachyon/Gene/Summary?g=Bradi2g61980","Bradi2g61980")</f>
        <v>Bradi2g61980</v>
      </c>
      <c r="I82" s="8" t="str">
        <f>HYPERLINK("http://plants.ensembl.org/Arabidopsis_thaliana/Gene/Summary?g=AT1G71090","AT1G71090")</f>
        <v>AT1G71090</v>
      </c>
      <c r="J82" s="9" t="str">
        <f>HYPERLINK("http://plants.ensembl.org/Oryza_sativa/Gene/Summary?db=otherfeatures;g=LOC_Os08g09190","LOC_Os08g09190")</f>
        <v>LOC_Os08g09190</v>
      </c>
      <c r="L82" s="6"/>
      <c r="M82" s="1" t="s">
        <v>973</v>
      </c>
      <c r="N82" s="1" t="s">
        <v>973</v>
      </c>
      <c r="O82" s="1" t="s">
        <v>973</v>
      </c>
      <c r="P82" s="1">
        <v>1</v>
      </c>
      <c r="Q82" s="1" t="s">
        <v>973</v>
      </c>
      <c r="R82" s="1" t="s">
        <v>973</v>
      </c>
      <c r="S82" s="1"/>
      <c r="T82" s="6"/>
      <c r="U82" s="11">
        <v>7.5647744589235204</v>
      </c>
      <c r="V82" s="11">
        <v>8.3848464777286864</v>
      </c>
      <c r="W82" s="11">
        <v>7.3614297494726193</v>
      </c>
      <c r="X82" s="11">
        <v>7.5246806562992976</v>
      </c>
      <c r="Y82" s="11">
        <v>7.2431711266482592</v>
      </c>
      <c r="Z82" s="11">
        <v>7.4207440046957656</v>
      </c>
      <c r="AA82" s="11">
        <v>7.3930191346857441</v>
      </c>
      <c r="AB82" s="11">
        <v>7.5304266263795565</v>
      </c>
      <c r="AC82" s="11">
        <v>7.5444106818462204</v>
      </c>
      <c r="AD82" s="11">
        <v>7.9649551700714643</v>
      </c>
      <c r="AE82" s="11">
        <v>7.0850666150760064</v>
      </c>
      <c r="AF82" s="11">
        <v>6.7935664625129926</v>
      </c>
      <c r="AG82" s="11">
        <v>7.6678933076116023</v>
      </c>
      <c r="AH82" s="11">
        <v>7.2332873233437684</v>
      </c>
      <c r="AI82" s="11">
        <v>6.9646242763367399</v>
      </c>
      <c r="AJ82" s="11">
        <v>6.7040138183497548</v>
      </c>
      <c r="AK82" s="6"/>
      <c r="AL82" t="s">
        <v>1073</v>
      </c>
      <c r="AM82">
        <v>0</v>
      </c>
      <c r="AN82" s="6"/>
      <c r="AO82" s="20">
        <v>4.5999999999999999E-2</v>
      </c>
      <c r="AP82" s="20">
        <v>0.40439999999999998</v>
      </c>
      <c r="AQ82" s="20">
        <v>0.27460000000000001</v>
      </c>
      <c r="AR82" s="20">
        <v>0.72440000000000004</v>
      </c>
      <c r="AS82" s="20">
        <v>-0.4279</v>
      </c>
      <c r="AT82" s="20">
        <v>0.18890000000000001</v>
      </c>
      <c r="AU82" s="20">
        <v>0.42949999999999999</v>
      </c>
      <c r="AV82" s="20">
        <v>0.82789999999999997</v>
      </c>
      <c r="AW82" s="6"/>
      <c r="AX82" s="18">
        <v>0.88680000000000003</v>
      </c>
      <c r="AY82" s="18">
        <v>0.22409999999999999</v>
      </c>
      <c r="AZ82" s="18">
        <v>0.38569999999999999</v>
      </c>
      <c r="BA82" s="18">
        <v>2.3189999999999999E-2</v>
      </c>
      <c r="BB82" s="18">
        <v>0.17380000000000001</v>
      </c>
      <c r="BC82" s="18">
        <v>0.55089999999999995</v>
      </c>
      <c r="BD82" s="18">
        <v>0.1744</v>
      </c>
      <c r="BE82" s="18">
        <v>9.4140000000000005E-3</v>
      </c>
      <c r="BF82" s="13"/>
      <c r="BG82" t="s">
        <v>1111</v>
      </c>
      <c r="BH82" t="s">
        <v>1112</v>
      </c>
      <c r="BI82" t="s">
        <v>1150</v>
      </c>
      <c r="BJ82" t="s">
        <v>1114</v>
      </c>
      <c r="BK82" t="s">
        <v>1115</v>
      </c>
      <c r="BL82" t="s">
        <v>1116</v>
      </c>
      <c r="BM82" t="s">
        <v>1117</v>
      </c>
      <c r="BN82" s="13"/>
      <c r="BO82" t="s">
        <v>973</v>
      </c>
      <c r="BP82" t="s">
        <v>973</v>
      </c>
      <c r="BQ82" t="s">
        <v>973</v>
      </c>
      <c r="BR82" t="s">
        <v>973</v>
      </c>
    </row>
    <row r="83" spans="1:70" x14ac:dyDescent="0.25">
      <c r="A83" t="s">
        <v>335</v>
      </c>
      <c r="B83" t="s">
        <v>336</v>
      </c>
      <c r="C83" t="s">
        <v>337</v>
      </c>
      <c r="D83" s="6"/>
      <c r="E83" s="9" t="str">
        <f>HYPERLINK("http://plants.ensembl.org/Triticum_aestivum/Gene/Summary?g=TRIAE_CS42_3AL_TGACv1_196564_AA0661470","TRIAE_CS42_3AL_TGACv1_196564_AA0661470")</f>
        <v>TRIAE_CS42_3AL_TGACv1_196564_AA0661470</v>
      </c>
      <c r="F83" s="9" t="str">
        <f>HYPERLINK("http://mar2016-plants.ensembl.org/Triticum_aestivum/Gene/Summary?db=core;g=Traes_3AL_7A70299C9","Traes_3AL_7A70299C9")</f>
        <v>Traes_3AL_7A70299C9</v>
      </c>
      <c r="H83" s="8" t="str">
        <f>HYPERLINK("http://plants.ensembl.org/Brachypodium_distachyon/Gene/Summary?g=Bradi2g55340","Bradi2g55340")</f>
        <v>Bradi2g55340</v>
      </c>
      <c r="I83" s="1" t="s">
        <v>1051</v>
      </c>
      <c r="J83" s="9" t="str">
        <f>HYPERLINK("http://plants.ensembl.org/Oryza_sativa/Gene/Summary?db=otherfeatures;g=LOC_Os01g63770","LOC_Os01g63770")</f>
        <v>LOC_Os01g63770</v>
      </c>
      <c r="L83" s="6"/>
      <c r="M83" s="1" t="s">
        <v>973</v>
      </c>
      <c r="N83" s="1" t="s">
        <v>973</v>
      </c>
      <c r="O83" s="1" t="s">
        <v>973</v>
      </c>
      <c r="P83" s="1">
        <v>1</v>
      </c>
      <c r="Q83" s="1" t="s">
        <v>973</v>
      </c>
      <c r="R83" s="1" t="s">
        <v>973</v>
      </c>
      <c r="S83" s="1"/>
      <c r="T83" s="6"/>
      <c r="U83" s="11">
        <v>7.2172814552749758</v>
      </c>
      <c r="V83" s="11">
        <v>5.7400766552910021</v>
      </c>
      <c r="W83" s="11">
        <v>8.552851071803051</v>
      </c>
      <c r="X83" s="11">
        <v>7.3623076904114937</v>
      </c>
      <c r="Y83" s="11">
        <v>7.9208149202572447</v>
      </c>
      <c r="Z83" s="11">
        <v>7.0327066155534457</v>
      </c>
      <c r="AA83" s="11">
        <v>9.0519834280484126</v>
      </c>
      <c r="AB83" s="11">
        <v>7.3101628632936562</v>
      </c>
      <c r="AC83" s="11">
        <v>7.7800512954710408</v>
      </c>
      <c r="AD83" s="11">
        <v>7.7626247653662119</v>
      </c>
      <c r="AE83" s="11">
        <v>8.9556118419606676</v>
      </c>
      <c r="AF83" s="11">
        <v>7.9701258360089362</v>
      </c>
      <c r="AG83" s="11">
        <v>8.5415485244602678</v>
      </c>
      <c r="AH83" s="11">
        <v>7.1885506040980331</v>
      </c>
      <c r="AI83" s="11">
        <v>8.2488829824440035</v>
      </c>
      <c r="AJ83" s="11">
        <v>6.9931259639867678</v>
      </c>
      <c r="AK83" s="6"/>
      <c r="AL83" t="s">
        <v>1075</v>
      </c>
      <c r="AM83">
        <v>0</v>
      </c>
      <c r="AN83" s="6"/>
      <c r="AO83" s="20">
        <v>-0.54349999999999998</v>
      </c>
      <c r="AP83" s="20">
        <v>-1.9629000000000001</v>
      </c>
      <c r="AQ83" s="20">
        <v>-0.3957</v>
      </c>
      <c r="AR83" s="20">
        <v>-0.59970000000000001</v>
      </c>
      <c r="AS83" s="20">
        <v>-0.61070000000000002</v>
      </c>
      <c r="AT83" s="20">
        <v>-0.15179999999999999</v>
      </c>
      <c r="AU83" s="20">
        <v>0.78920000000000001</v>
      </c>
      <c r="AV83" s="20">
        <v>0.31240000000000001</v>
      </c>
      <c r="AW83" s="6"/>
      <c r="AX83" s="18">
        <v>0.39739999999999998</v>
      </c>
      <c r="AY83" s="18">
        <v>3.8660000000000001E-3</v>
      </c>
      <c r="AZ83" s="18">
        <v>0.53249999999999997</v>
      </c>
      <c r="BA83" s="18">
        <v>0.34620000000000001</v>
      </c>
      <c r="BB83" s="18">
        <v>0.33600000000000002</v>
      </c>
      <c r="BC83" s="18">
        <v>0.81200000000000006</v>
      </c>
      <c r="BD83" s="18">
        <v>0.2132</v>
      </c>
      <c r="BE83" s="18">
        <v>0.62439999999999996</v>
      </c>
      <c r="BF83" s="13"/>
      <c r="BG83" t="s">
        <v>1128</v>
      </c>
      <c r="BH83" t="s">
        <v>1216</v>
      </c>
      <c r="BI83" t="s">
        <v>1113</v>
      </c>
      <c r="BJ83" t="s">
        <v>1217</v>
      </c>
      <c r="BK83" t="s">
        <v>1115</v>
      </c>
      <c r="BL83" t="s">
        <v>1116</v>
      </c>
      <c r="BM83" t="s">
        <v>1117</v>
      </c>
      <c r="BN83" s="13"/>
      <c r="BO83" t="s">
        <v>973</v>
      </c>
      <c r="BP83" t="s">
        <v>973</v>
      </c>
      <c r="BQ83" t="s">
        <v>973</v>
      </c>
      <c r="BR83" t="s">
        <v>973</v>
      </c>
    </row>
    <row r="84" spans="1:70" x14ac:dyDescent="0.25">
      <c r="A84" t="s">
        <v>393</v>
      </c>
      <c r="B84" t="s">
        <v>336</v>
      </c>
      <c r="C84" t="s">
        <v>337</v>
      </c>
      <c r="D84" s="6"/>
      <c r="H84" s="8" t="str">
        <f>HYPERLINK("http://plants.ensembl.org/Brachypodium_distachyon/Gene/Summary?g=Bradi2g55340","Bradi2g55340")</f>
        <v>Bradi2g55340</v>
      </c>
      <c r="I84" s="1" t="s">
        <v>1051</v>
      </c>
      <c r="J84" s="9" t="str">
        <f>HYPERLINK("http://plants.ensembl.org/Oryza_sativa/Gene/Summary?db=otherfeatures;g=LOC_Os01g63770","LOC_Os01g63770")</f>
        <v>LOC_Os01g63770</v>
      </c>
      <c r="L84" s="6"/>
      <c r="M84" s="1" t="s">
        <v>973</v>
      </c>
      <c r="N84" s="1" t="s">
        <v>973</v>
      </c>
      <c r="O84" s="1" t="s">
        <v>973</v>
      </c>
      <c r="P84" s="1">
        <v>1</v>
      </c>
      <c r="Q84" s="1" t="s">
        <v>973</v>
      </c>
      <c r="R84" s="1" t="s">
        <v>973</v>
      </c>
      <c r="S84" s="1"/>
      <c r="T84" s="6"/>
      <c r="U84" s="11">
        <v>7.1603467760955644</v>
      </c>
      <c r="V84" s="11">
        <v>5.8345494242781575</v>
      </c>
      <c r="W84" s="11">
        <v>7.5836599808285987</v>
      </c>
      <c r="X84" s="11">
        <v>6.5911438115277061</v>
      </c>
      <c r="Y84" s="11">
        <v>7.3880069495824454</v>
      </c>
      <c r="Z84" s="11">
        <v>6.4900587644518088</v>
      </c>
      <c r="AA84" s="11">
        <v>8.6376701351025655</v>
      </c>
      <c r="AB84" s="11">
        <v>7.1543239646604784</v>
      </c>
      <c r="AC84" s="11">
        <v>7.7213990922370623</v>
      </c>
      <c r="AD84" s="11">
        <v>7.6135149549620253</v>
      </c>
      <c r="AE84" s="11">
        <v>7.9614840369807167</v>
      </c>
      <c r="AF84" s="11">
        <v>7.0816254592258314</v>
      </c>
      <c r="AG84" s="11">
        <v>7.9845973248076367</v>
      </c>
      <c r="AH84" s="11">
        <v>6.8053694213624984</v>
      </c>
      <c r="AI84" s="11">
        <v>8.0604994163952774</v>
      </c>
      <c r="AJ84" s="11">
        <v>6.7165785062798493</v>
      </c>
      <c r="AK84" s="6"/>
      <c r="AL84" t="s">
        <v>1095</v>
      </c>
      <c r="AM84">
        <v>0</v>
      </c>
      <c r="AN84" s="6"/>
      <c r="AO84" s="20">
        <v>-0.54900000000000004</v>
      </c>
      <c r="AP84" s="20">
        <v>-2.0226999999999999</v>
      </c>
      <c r="AQ84" s="20">
        <v>-0.37719999999999998</v>
      </c>
      <c r="AR84" s="20">
        <v>-0.4955</v>
      </c>
      <c r="AS84" s="20">
        <v>-0.59560000000000002</v>
      </c>
      <c r="AT84" s="20">
        <v>-0.31359999999999999</v>
      </c>
      <c r="AU84" s="20">
        <v>0.57420000000000004</v>
      </c>
      <c r="AV84" s="20">
        <v>0.43740000000000001</v>
      </c>
      <c r="AW84" s="6"/>
      <c r="AX84" s="18">
        <v>0.17119999999999999</v>
      </c>
      <c r="AY84" s="18">
        <v>1.201E-5</v>
      </c>
      <c r="AZ84" s="18">
        <v>0.33310000000000001</v>
      </c>
      <c r="BA84" s="18">
        <v>0.21199999999999999</v>
      </c>
      <c r="BB84" s="18">
        <v>0.1268</v>
      </c>
      <c r="BC84" s="18">
        <v>0.43070000000000003</v>
      </c>
      <c r="BD84" s="18">
        <v>0.13830000000000001</v>
      </c>
      <c r="BE84" s="18">
        <v>0.26889999999999997</v>
      </c>
      <c r="BF84" s="13"/>
      <c r="BG84" t="s">
        <v>1128</v>
      </c>
      <c r="BH84" t="s">
        <v>1129</v>
      </c>
      <c r="BI84" t="s">
        <v>1113</v>
      </c>
      <c r="BJ84" t="s">
        <v>1237</v>
      </c>
      <c r="BK84" t="s">
        <v>1288</v>
      </c>
      <c r="BL84" t="s">
        <v>1218</v>
      </c>
      <c r="BM84" t="s">
        <v>1117</v>
      </c>
      <c r="BN84" s="13"/>
      <c r="BO84" t="s">
        <v>973</v>
      </c>
      <c r="BP84" t="s">
        <v>973</v>
      </c>
      <c r="BQ84" t="s">
        <v>973</v>
      </c>
      <c r="BR84" t="s">
        <v>973</v>
      </c>
    </row>
    <row r="85" spans="1:70" x14ac:dyDescent="0.25">
      <c r="A85" t="s">
        <v>432</v>
      </c>
      <c r="B85" t="s">
        <v>336</v>
      </c>
      <c r="C85" t="s">
        <v>337</v>
      </c>
      <c r="D85" s="6"/>
      <c r="E85" s="9" t="str">
        <f>HYPERLINK("http://plants.ensembl.org/Triticum_aestivum/Gene/Summary?g=TRIAE_CS42_3DL_TGACv1_251723_AA0884190","TRIAE_CS42_3DL_TGACv1_251723_AA0884190")</f>
        <v>TRIAE_CS42_3DL_TGACv1_251723_AA0884190</v>
      </c>
      <c r="F85" s="9" t="str">
        <f>HYPERLINK("http://mar2016-plants.ensembl.org/Triticum_aestivum/Gene/Summary?db=core;g=Traes_3AL_F4B6726BC","Traes_3AL_F4B6726BC")</f>
        <v>Traes_3AL_F4B6726BC</v>
      </c>
      <c r="H85" s="8" t="str">
        <f>HYPERLINK("http://plants.ensembl.org/Brachypodium_distachyon/Gene/Summary?g=Bradi2g55340","Bradi2g55340")</f>
        <v>Bradi2g55340</v>
      </c>
      <c r="I85" s="1" t="s">
        <v>1051</v>
      </c>
      <c r="J85" s="9" t="str">
        <f>HYPERLINK("http://plants.ensembl.org/Oryza_sativa/Gene/Summary?db=otherfeatures;g=LOC_Os01g63770","LOC_Os01g63770")</f>
        <v>LOC_Os01g63770</v>
      </c>
      <c r="L85" s="6"/>
      <c r="M85" s="1" t="s">
        <v>973</v>
      </c>
      <c r="N85" s="1" t="s">
        <v>973</v>
      </c>
      <c r="O85" s="1" t="s">
        <v>973</v>
      </c>
      <c r="P85" s="1">
        <v>1</v>
      </c>
      <c r="Q85" s="1" t="s">
        <v>973</v>
      </c>
      <c r="R85" s="1" t="s">
        <v>973</v>
      </c>
      <c r="S85" s="1"/>
      <c r="T85" s="6"/>
      <c r="U85" s="11">
        <v>6.312514521962501</v>
      </c>
      <c r="V85" s="11">
        <v>4.2350811228910201</v>
      </c>
      <c r="W85" s="11">
        <v>7.0532377115893645</v>
      </c>
      <c r="X85" s="11">
        <v>6.092372370937337</v>
      </c>
      <c r="Y85" s="11">
        <v>6.6053703703800233</v>
      </c>
      <c r="Z85" s="11">
        <v>6.0371442426278259</v>
      </c>
      <c r="AA85" s="11">
        <v>7.7058182843498662</v>
      </c>
      <c r="AB85" s="11">
        <v>6.0979169435793779</v>
      </c>
      <c r="AC85" s="11">
        <v>7.2635421401237172</v>
      </c>
      <c r="AD85" s="11">
        <v>6.829163304865955</v>
      </c>
      <c r="AE85" s="11">
        <v>7.5808663000150132</v>
      </c>
      <c r="AF85" s="11">
        <v>6.5599506127130827</v>
      </c>
      <c r="AG85" s="11">
        <v>7.6256372543951585</v>
      </c>
      <c r="AH85" s="11">
        <v>6.539796248396299</v>
      </c>
      <c r="AI85" s="11">
        <v>7.4143650241435468</v>
      </c>
      <c r="AJ85" s="11">
        <v>6.0006851174419094</v>
      </c>
      <c r="AK85" s="6"/>
      <c r="AL85" t="s">
        <v>1075</v>
      </c>
      <c r="AM85">
        <v>0</v>
      </c>
      <c r="AN85" s="6"/>
      <c r="AO85" s="20">
        <v>-0.94350000000000001</v>
      </c>
      <c r="AP85" s="20">
        <v>-2.3325999999999998</v>
      </c>
      <c r="AQ85" s="20">
        <v>-0.52659999999999996</v>
      </c>
      <c r="AR85" s="20">
        <v>-0.47320000000000001</v>
      </c>
      <c r="AS85" s="20">
        <v>-1.0199</v>
      </c>
      <c r="AT85" s="20">
        <v>-0.49609999999999999</v>
      </c>
      <c r="AU85" s="20">
        <v>0.28939999999999999</v>
      </c>
      <c r="AV85" s="20">
        <v>9.7799999999999998E-2</v>
      </c>
      <c r="AW85" s="6"/>
      <c r="AX85" s="18">
        <v>3.671E-2</v>
      </c>
      <c r="AY85" s="18">
        <v>2.459E-5</v>
      </c>
      <c r="AZ85" s="18">
        <v>0.22370000000000001</v>
      </c>
      <c r="BA85" s="18">
        <v>0.28470000000000001</v>
      </c>
      <c r="BB85" s="18">
        <v>1.8929999999999999E-2</v>
      </c>
      <c r="BC85" s="18">
        <v>0.26150000000000001</v>
      </c>
      <c r="BD85" s="18">
        <v>0.502</v>
      </c>
      <c r="BE85" s="18">
        <v>0.82609999999999995</v>
      </c>
      <c r="BF85" s="13"/>
      <c r="BG85" t="s">
        <v>1128</v>
      </c>
      <c r="BH85" t="s">
        <v>1216</v>
      </c>
      <c r="BI85" t="s">
        <v>1113</v>
      </c>
      <c r="BJ85" t="s">
        <v>1217</v>
      </c>
      <c r="BK85" t="s">
        <v>1178</v>
      </c>
      <c r="BL85" t="s">
        <v>1116</v>
      </c>
      <c r="BM85" t="s">
        <v>1117</v>
      </c>
      <c r="BN85" s="13"/>
      <c r="BO85" t="s">
        <v>973</v>
      </c>
      <c r="BP85" t="s">
        <v>973</v>
      </c>
      <c r="BQ85" t="s">
        <v>973</v>
      </c>
      <c r="BR85" t="s">
        <v>973</v>
      </c>
    </row>
    <row r="86" spans="1:70" x14ac:dyDescent="0.25">
      <c r="A86" t="s">
        <v>514</v>
      </c>
      <c r="B86" t="s">
        <v>515</v>
      </c>
      <c r="C86" t="s">
        <v>516</v>
      </c>
      <c r="D86" s="6"/>
      <c r="E86" s="9" t="str">
        <f>HYPERLINK("http://plants.ensembl.org/Triticum_aestivum/Gene/Summary?g=TRIAE_CS42_4AL_TGACv1_288723_AA0956420","TRIAE_CS42_4AL_TGACv1_288723_AA0956420")</f>
        <v>TRIAE_CS42_4AL_TGACv1_288723_AA0956420</v>
      </c>
      <c r="F86" s="9" t="str">
        <f>HYPERLINK("http://mar2016-plants.ensembl.org/Triticum_aestivum/Gene/Summary?db=core;g=Traes_4AL_DC7251461","Traes_4AL_DC7251461")</f>
        <v>Traes_4AL_DC7251461</v>
      </c>
      <c r="H86" s="8" t="str">
        <f>HYPERLINK("http://plants.ensembl.org/Brachypodium_distachyon/Gene/Summary?g=Bradi3g37500","Bradi3g37500")</f>
        <v>Bradi3g37500</v>
      </c>
      <c r="I86" s="1" t="s">
        <v>1051</v>
      </c>
      <c r="J86" s="9" t="str">
        <f>HYPERLINK("http://plants.ensembl.org/Oryza_sativa/Gene/Summary?db=otherfeatures;g=LOC_Os09g26620","LOC_Os09g26620")</f>
        <v>LOC_Os09g26620</v>
      </c>
      <c r="L86" s="6"/>
      <c r="M86" s="1" t="s">
        <v>973</v>
      </c>
      <c r="N86" s="1" t="s">
        <v>973</v>
      </c>
      <c r="O86" s="1" t="s">
        <v>973</v>
      </c>
      <c r="P86" s="1">
        <v>1</v>
      </c>
      <c r="Q86" s="1" t="s">
        <v>973</v>
      </c>
      <c r="R86" s="1" t="s">
        <v>973</v>
      </c>
      <c r="S86" s="1"/>
      <c r="T86" s="6"/>
      <c r="U86" s="11">
        <v>5.7877798271721188</v>
      </c>
      <c r="V86" s="11">
        <v>6.6539533016142487</v>
      </c>
      <c r="W86" s="11">
        <v>4.391524867844308</v>
      </c>
      <c r="X86" s="11">
        <v>4.343644698587795</v>
      </c>
      <c r="Y86" s="11">
        <v>5.9736426514230745</v>
      </c>
      <c r="Z86" s="11">
        <v>4.8711898202443749</v>
      </c>
      <c r="AA86" s="11">
        <v>4.8296973687964053</v>
      </c>
      <c r="AB86" s="11">
        <v>3.1990074396393897</v>
      </c>
      <c r="AC86" s="11">
        <v>5.7162995516930719</v>
      </c>
      <c r="AD86" s="11">
        <v>4.5266134764988726</v>
      </c>
      <c r="AE86" s="11">
        <v>4.2978052507885263</v>
      </c>
      <c r="AF86" s="11">
        <v>3.6990851686377231</v>
      </c>
      <c r="AG86" s="11">
        <v>6.1080462670070563</v>
      </c>
      <c r="AH86" s="11">
        <v>4.2895443235044395</v>
      </c>
      <c r="AI86" s="11">
        <v>3.4338630350065391</v>
      </c>
      <c r="AJ86" s="11">
        <v>2.800496147596486</v>
      </c>
      <c r="AK86" s="6"/>
      <c r="AL86" t="s">
        <v>1077</v>
      </c>
      <c r="AM86">
        <v>0</v>
      </c>
      <c r="AN86" s="6"/>
      <c r="AO86" s="20">
        <v>0.1222</v>
      </c>
      <c r="AP86" s="20">
        <v>2.0632999999999999</v>
      </c>
      <c r="AQ86" s="20">
        <v>9.5899999999999999E-2</v>
      </c>
      <c r="AR86" s="20">
        <v>0.60329999999999995</v>
      </c>
      <c r="AS86" s="20">
        <v>-0.1381</v>
      </c>
      <c r="AT86" s="20">
        <v>0.61819999999999997</v>
      </c>
      <c r="AU86" s="20">
        <v>1.4553</v>
      </c>
      <c r="AV86" s="20">
        <v>0.45040000000000002</v>
      </c>
      <c r="AW86" s="6"/>
      <c r="AX86" s="18">
        <v>0.79039999999999999</v>
      </c>
      <c r="AY86" s="18">
        <v>5.3300000000000001E-5</v>
      </c>
      <c r="AZ86" s="18">
        <v>0.84009999999999996</v>
      </c>
      <c r="BA86" s="18">
        <v>0.2248</v>
      </c>
      <c r="BB86" s="18">
        <v>0.75</v>
      </c>
      <c r="BC86" s="18">
        <v>0.19040000000000001</v>
      </c>
      <c r="BD86" s="18">
        <v>2.9789999999999999E-3</v>
      </c>
      <c r="BE86" s="18">
        <v>0.43359999999999999</v>
      </c>
      <c r="BF86" s="13"/>
      <c r="BG86" t="s">
        <v>1125</v>
      </c>
      <c r="BH86" t="s">
        <v>1126</v>
      </c>
      <c r="BI86" t="s">
        <v>1113</v>
      </c>
      <c r="BJ86" t="s">
        <v>1114</v>
      </c>
      <c r="BK86" t="s">
        <v>1115</v>
      </c>
      <c r="BL86" t="s">
        <v>1116</v>
      </c>
      <c r="BM86" t="s">
        <v>1117</v>
      </c>
      <c r="BN86" s="13"/>
      <c r="BO86" t="s">
        <v>973</v>
      </c>
      <c r="BP86">
        <v>1</v>
      </c>
      <c r="BQ86" t="s">
        <v>973</v>
      </c>
      <c r="BR86" t="s">
        <v>973</v>
      </c>
    </row>
    <row r="87" spans="1:70" x14ac:dyDescent="0.25">
      <c r="A87" t="s">
        <v>623</v>
      </c>
      <c r="B87" t="s">
        <v>624</v>
      </c>
      <c r="C87" t="s">
        <v>516</v>
      </c>
      <c r="D87" s="6"/>
      <c r="E87" s="9" t="str">
        <f>HYPERLINK("http://plants.ensembl.org/Triticum_aestivum/Gene/Summary?g=TRIAE_CS42_5AL_TGACv1_378531_AA1253640","TRIAE_CS42_5AL_TGACv1_378531_AA1253640")</f>
        <v>TRIAE_CS42_5AL_TGACv1_378531_AA1253640</v>
      </c>
      <c r="H87" s="8" t="str">
        <f>HYPERLINK("http://plants.ensembl.org/Brachypodium_distachyon/Gene/Summary?g=Bradi4g31110","Bradi4g31110")</f>
        <v>Bradi4g31110</v>
      </c>
      <c r="I87" s="1" t="s">
        <v>1051</v>
      </c>
      <c r="J87" s="9" t="str">
        <f>HYPERLINK("http://plants.ensembl.org/Oryza_sativa/Gene/Summary?db=otherfeatures;g=LOC_Os09g26620","LOC_Os09g26620")</f>
        <v>LOC_Os09g26620</v>
      </c>
      <c r="L87" s="6"/>
      <c r="M87" s="1" t="s">
        <v>973</v>
      </c>
      <c r="N87" s="1" t="s">
        <v>973</v>
      </c>
      <c r="O87" s="1" t="s">
        <v>973</v>
      </c>
      <c r="P87" s="1">
        <v>1</v>
      </c>
      <c r="Q87" s="1" t="s">
        <v>973</v>
      </c>
      <c r="R87" s="1" t="s">
        <v>973</v>
      </c>
      <c r="S87" s="1"/>
      <c r="T87" s="6"/>
      <c r="U87" s="11">
        <v>7.7332273308545476</v>
      </c>
      <c r="V87" s="11">
        <v>7.1561221882620991</v>
      </c>
      <c r="W87" s="11">
        <v>7.2000789247135311</v>
      </c>
      <c r="X87" s="11">
        <v>7.2188399229645999</v>
      </c>
      <c r="Y87" s="11">
        <v>7.0240662336723245</v>
      </c>
      <c r="Z87" s="11">
        <v>6.638500595480008</v>
      </c>
      <c r="AA87" s="11">
        <v>7.75510589363211</v>
      </c>
      <c r="AB87" s="11">
        <v>6.9786948262508171</v>
      </c>
      <c r="AC87" s="11">
        <v>7.1983281477229077</v>
      </c>
      <c r="AD87" s="11">
        <v>7.8684427236669814</v>
      </c>
      <c r="AE87" s="11">
        <v>7.3752659572410346</v>
      </c>
      <c r="AF87" s="11">
        <v>6.8918719833296027</v>
      </c>
      <c r="AG87" s="11">
        <v>7.0304254714844303</v>
      </c>
      <c r="AH87" s="11">
        <v>6.4847042252815879</v>
      </c>
      <c r="AI87" s="11">
        <v>7.12564318125282</v>
      </c>
      <c r="AJ87" s="11">
        <v>6.3795811099656792</v>
      </c>
      <c r="AK87" s="6"/>
      <c r="AL87" t="s">
        <v>1092</v>
      </c>
      <c r="AM87">
        <v>0</v>
      </c>
      <c r="AN87" s="6"/>
      <c r="AO87" s="20">
        <v>0.55030000000000001</v>
      </c>
      <c r="AP87" s="20">
        <v>-0.76439999999999997</v>
      </c>
      <c r="AQ87" s="20">
        <v>-0.17519999999999999</v>
      </c>
      <c r="AR87" s="20">
        <v>0.32</v>
      </c>
      <c r="AS87" s="20">
        <v>-7.3000000000000001E-3</v>
      </c>
      <c r="AT87" s="20">
        <v>0.15670000000000001</v>
      </c>
      <c r="AU87" s="20">
        <v>0.62670000000000003</v>
      </c>
      <c r="AV87" s="20">
        <v>0.5988</v>
      </c>
      <c r="AW87" s="6"/>
      <c r="AX87" s="18">
        <v>0.1845</v>
      </c>
      <c r="AY87" s="18">
        <v>8.022E-2</v>
      </c>
      <c r="AZ87" s="18">
        <v>0.66800000000000004</v>
      </c>
      <c r="BA87" s="18">
        <v>0.4365</v>
      </c>
      <c r="BB87" s="18">
        <v>0.98580000000000001</v>
      </c>
      <c r="BC87" s="18">
        <v>0.70569999999999999</v>
      </c>
      <c r="BD87" s="18">
        <v>0.1239</v>
      </c>
      <c r="BE87" s="18">
        <v>0.14810000000000001</v>
      </c>
      <c r="BF87" s="13"/>
      <c r="BG87" t="s">
        <v>1111</v>
      </c>
      <c r="BH87" t="s">
        <v>1112</v>
      </c>
      <c r="BI87" t="s">
        <v>1292</v>
      </c>
      <c r="BJ87" t="s">
        <v>1114</v>
      </c>
      <c r="BK87" t="s">
        <v>1115</v>
      </c>
      <c r="BL87" t="s">
        <v>1116</v>
      </c>
      <c r="BM87" t="s">
        <v>1117</v>
      </c>
      <c r="BN87" s="13"/>
      <c r="BO87" t="s">
        <v>973</v>
      </c>
      <c r="BP87" t="s">
        <v>973</v>
      </c>
      <c r="BQ87" t="s">
        <v>973</v>
      </c>
      <c r="BR87" t="s">
        <v>973</v>
      </c>
    </row>
    <row r="88" spans="1:70" x14ac:dyDescent="0.25">
      <c r="A88" t="s">
        <v>685</v>
      </c>
      <c r="B88" t="s">
        <v>624</v>
      </c>
      <c r="C88" t="s">
        <v>516</v>
      </c>
      <c r="D88" s="6"/>
      <c r="E88" s="9" t="str">
        <f>HYPERLINK("http://plants.ensembl.org/Triticum_aestivum/Gene/Summary?g=TRIAE_CS42_5BL_TGACv1_404132_AA1285860","TRIAE_CS42_5BL_TGACv1_404132_AA1285860")</f>
        <v>TRIAE_CS42_5BL_TGACv1_404132_AA1285860</v>
      </c>
      <c r="F88" s="9" t="str">
        <f>HYPERLINK("http://mar2016-plants.ensembl.org/Triticum_aestivum/Gene/Summary?db=core;g=Traes_5BL_F664C293E","Traes_5BL_F664C293E")</f>
        <v>Traes_5BL_F664C293E</v>
      </c>
      <c r="H88" s="8" t="str">
        <f>HYPERLINK("http://plants.ensembl.org/Brachypodium_distachyon/Gene/Summary?g=Bradi4g31110","Bradi4g31110")</f>
        <v>Bradi4g31110</v>
      </c>
      <c r="I88" s="1" t="s">
        <v>1051</v>
      </c>
      <c r="J88" s="9" t="str">
        <f>HYPERLINK("http://plants.ensembl.org/Oryza_sativa/Gene/Summary?db=otherfeatures;g=LOC_Os09g26620","LOC_Os09g26620")</f>
        <v>LOC_Os09g26620</v>
      </c>
      <c r="L88" s="6"/>
      <c r="M88" s="1" t="s">
        <v>973</v>
      </c>
      <c r="N88" s="1" t="s">
        <v>973</v>
      </c>
      <c r="O88" s="1" t="s">
        <v>973</v>
      </c>
      <c r="P88" s="1">
        <v>1</v>
      </c>
      <c r="Q88" s="1" t="s">
        <v>973</v>
      </c>
      <c r="R88" s="1" t="s">
        <v>973</v>
      </c>
      <c r="S88" s="1"/>
      <c r="T88" s="6"/>
      <c r="U88" s="11">
        <v>9.0546662659240624</v>
      </c>
      <c r="V88" s="11">
        <v>9.2151364164453682</v>
      </c>
      <c r="W88" s="11">
        <v>8.6053582697891926</v>
      </c>
      <c r="X88" s="11">
        <v>8.6898408849330124</v>
      </c>
      <c r="Y88" s="11">
        <v>8.3430511020555382</v>
      </c>
      <c r="Z88" s="11">
        <v>8.234301400763032</v>
      </c>
      <c r="AA88" s="11">
        <v>8.1507970938284231</v>
      </c>
      <c r="AB88" s="11">
        <v>8.3007948732330714</v>
      </c>
      <c r="AC88" s="11">
        <v>8.5649131348357468</v>
      </c>
      <c r="AD88" s="11">
        <v>8.7840375792331109</v>
      </c>
      <c r="AE88" s="11">
        <v>7.8937806303474094</v>
      </c>
      <c r="AF88" s="11">
        <v>7.1960538761099357</v>
      </c>
      <c r="AG88" s="11">
        <v>8.3092639698609734</v>
      </c>
      <c r="AH88" s="11">
        <v>7.4188943662510667</v>
      </c>
      <c r="AI88" s="11">
        <v>7.6652300209041604</v>
      </c>
      <c r="AJ88" s="11">
        <v>7.1849057499060027</v>
      </c>
      <c r="AK88" s="6"/>
      <c r="AL88" t="s">
        <v>1077</v>
      </c>
      <c r="AM88">
        <v>0</v>
      </c>
      <c r="AN88" s="6"/>
      <c r="AO88" s="20">
        <v>0.50260000000000005</v>
      </c>
      <c r="AP88" s="20">
        <v>0.42770000000000002</v>
      </c>
      <c r="AQ88" s="20">
        <v>0.7087</v>
      </c>
      <c r="AR88" s="20">
        <v>1.4823999999999999</v>
      </c>
      <c r="AS88" s="20">
        <v>3.32E-2</v>
      </c>
      <c r="AT88" s="20">
        <v>0.81610000000000005</v>
      </c>
      <c r="AU88" s="20">
        <v>0.48299999999999998</v>
      </c>
      <c r="AV88" s="20">
        <v>1.113</v>
      </c>
      <c r="AW88" s="6"/>
      <c r="AX88" s="18">
        <v>0.17879999999999999</v>
      </c>
      <c r="AY88" s="18">
        <v>0.26250000000000001</v>
      </c>
      <c r="AZ88" s="18">
        <v>5.6980000000000003E-2</v>
      </c>
      <c r="BA88" s="18">
        <v>7.7169999999999995E-5</v>
      </c>
      <c r="BB88" s="18">
        <v>0.92869999999999997</v>
      </c>
      <c r="BC88" s="18">
        <v>2.9399999999999999E-2</v>
      </c>
      <c r="BD88" s="18">
        <v>0.19539999999999999</v>
      </c>
      <c r="BE88" s="18">
        <v>3.0010000000000002E-3</v>
      </c>
      <c r="BF88" s="13"/>
      <c r="BG88" t="s">
        <v>1387</v>
      </c>
      <c r="BH88" t="s">
        <v>1112</v>
      </c>
      <c r="BI88" t="s">
        <v>1162</v>
      </c>
      <c r="BJ88" t="s">
        <v>1114</v>
      </c>
      <c r="BK88" t="s">
        <v>1115</v>
      </c>
      <c r="BL88" t="s">
        <v>1116</v>
      </c>
      <c r="BM88" t="s">
        <v>1117</v>
      </c>
      <c r="BN88" s="13"/>
      <c r="BO88" t="s">
        <v>973</v>
      </c>
      <c r="BP88" t="s">
        <v>973</v>
      </c>
      <c r="BQ88" t="s">
        <v>973</v>
      </c>
      <c r="BR88" t="s">
        <v>973</v>
      </c>
    </row>
    <row r="89" spans="1:70" x14ac:dyDescent="0.25">
      <c r="A89" t="s">
        <v>734</v>
      </c>
      <c r="B89" t="s">
        <v>624</v>
      </c>
      <c r="C89" t="s">
        <v>516</v>
      </c>
      <c r="D89" s="6"/>
      <c r="E89" s="9" t="str">
        <f>HYPERLINK("http://plants.ensembl.org/Triticum_aestivum/Gene/Summary?g=TRIAE_CS42_5DL_TGACv1_433951_AA1426090","TRIAE_CS42_5DL_TGACv1_433951_AA1426090")</f>
        <v>TRIAE_CS42_5DL_TGACv1_433951_AA1426090</v>
      </c>
      <c r="H89" s="8" t="str">
        <f>HYPERLINK("http://plants.ensembl.org/Brachypodium_distachyon/Gene/Summary?g=Bradi4g31110","Bradi4g31110")</f>
        <v>Bradi4g31110</v>
      </c>
      <c r="I89" s="1" t="s">
        <v>1051</v>
      </c>
      <c r="J89" s="9" t="str">
        <f>HYPERLINK("http://plants.ensembl.org/Oryza_sativa/Gene/Summary?db=otherfeatures;g=LOC_Os09g26620","LOC_Os09g26620")</f>
        <v>LOC_Os09g26620</v>
      </c>
      <c r="L89" s="6"/>
      <c r="M89" s="1" t="s">
        <v>973</v>
      </c>
      <c r="N89" s="1" t="s">
        <v>973</v>
      </c>
      <c r="O89" s="1" t="s">
        <v>973</v>
      </c>
      <c r="P89" s="1">
        <v>1</v>
      </c>
      <c r="Q89" s="1" t="s">
        <v>973</v>
      </c>
      <c r="R89" s="1" t="s">
        <v>973</v>
      </c>
      <c r="S89" s="1"/>
      <c r="T89" s="6"/>
      <c r="U89" s="11">
        <v>8.2285562564302452</v>
      </c>
      <c r="V89" s="11">
        <v>7.5128539516661208</v>
      </c>
      <c r="W89" s="11">
        <v>8.6239079422275537</v>
      </c>
      <c r="X89" s="11">
        <v>8.405154797719149</v>
      </c>
      <c r="Y89" s="11">
        <v>8.0587955824551258</v>
      </c>
      <c r="Z89" s="11">
        <v>7.5357149881244379</v>
      </c>
      <c r="AA89" s="11">
        <v>8.3126122355333134</v>
      </c>
      <c r="AB89" s="11">
        <v>8.069669768919054</v>
      </c>
      <c r="AC89" s="11">
        <v>8.5135960172172567</v>
      </c>
      <c r="AD89" s="11">
        <v>8.8818855375131065</v>
      </c>
      <c r="AE89" s="11">
        <v>8.6717100641293623</v>
      </c>
      <c r="AF89" s="11">
        <v>7.5675142655756424</v>
      </c>
      <c r="AG89" s="11">
        <v>8.1843875865748732</v>
      </c>
      <c r="AH89" s="11">
        <v>7.3748204031851481</v>
      </c>
      <c r="AI89" s="11">
        <v>8.1356378121529609</v>
      </c>
      <c r="AJ89" s="11">
        <v>7.2450211641779294</v>
      </c>
      <c r="AK89" s="6"/>
      <c r="AL89" t="s">
        <v>1105</v>
      </c>
      <c r="AM89">
        <v>0</v>
      </c>
      <c r="AN89" s="6"/>
      <c r="AO89" s="20">
        <v>-0.2596</v>
      </c>
      <c r="AP89" s="20">
        <v>-1.3694</v>
      </c>
      <c r="AQ89" s="20">
        <v>-4.7699999999999999E-2</v>
      </c>
      <c r="AR89" s="20">
        <v>0.82989999999999997</v>
      </c>
      <c r="AS89" s="20">
        <v>-0.12570000000000001</v>
      </c>
      <c r="AT89" s="20">
        <v>0.16500000000000001</v>
      </c>
      <c r="AU89" s="20">
        <v>0.17549999999999999</v>
      </c>
      <c r="AV89" s="20">
        <v>0.82230000000000003</v>
      </c>
      <c r="AW89" s="6"/>
      <c r="AX89" s="18">
        <v>0.4955</v>
      </c>
      <c r="AY89" s="18">
        <v>6.1660000000000003E-4</v>
      </c>
      <c r="AZ89" s="18">
        <v>0.89880000000000004</v>
      </c>
      <c r="BA89" s="18">
        <v>2.819E-2</v>
      </c>
      <c r="BB89" s="18">
        <v>0.73829999999999996</v>
      </c>
      <c r="BC89" s="18">
        <v>0.66439999999999999</v>
      </c>
      <c r="BD89" s="18">
        <v>0.64059999999999995</v>
      </c>
      <c r="BE89" s="18">
        <v>3.0169999999999999E-2</v>
      </c>
      <c r="BF89" s="13"/>
      <c r="BG89" t="s">
        <v>1128</v>
      </c>
      <c r="BH89" t="s">
        <v>1112</v>
      </c>
      <c r="BI89" t="s">
        <v>1162</v>
      </c>
      <c r="BJ89" t="s">
        <v>1114</v>
      </c>
      <c r="BK89" t="s">
        <v>1328</v>
      </c>
      <c r="BL89" t="s">
        <v>1116</v>
      </c>
      <c r="BM89" t="s">
        <v>1117</v>
      </c>
      <c r="BN89" s="13"/>
      <c r="BO89" t="s">
        <v>973</v>
      </c>
      <c r="BP89" t="s">
        <v>973</v>
      </c>
      <c r="BQ89" t="s">
        <v>973</v>
      </c>
      <c r="BR89" t="s">
        <v>973</v>
      </c>
    </row>
    <row r="90" spans="1:70" x14ac:dyDescent="0.25">
      <c r="A90" t="s">
        <v>935</v>
      </c>
      <c r="B90" t="s">
        <v>624</v>
      </c>
      <c r="C90" t="s">
        <v>516</v>
      </c>
      <c r="D90" s="6"/>
      <c r="E90" s="9" t="str">
        <f>HYPERLINK("http://plants.ensembl.org/Triticum_aestivum/Gene/Summary?g=TRIAE_CS42_7DS_TGACv1_624509_AA2061760","TRIAE_CS42_7DS_TGACv1_624509_AA2061760")</f>
        <v>TRIAE_CS42_7DS_TGACv1_624509_AA2061760</v>
      </c>
      <c r="F90" s="9" t="str">
        <f>HYPERLINK("http://mar2016-plants.ensembl.org/Triticum_aestivum/Gene/Summary?db=core;g=Traes_7DS_E166583AB","Traes_7DS_E166583AB")</f>
        <v>Traes_7DS_E166583AB</v>
      </c>
      <c r="H90" s="8" t="str">
        <f>HYPERLINK("http://plants.ensembl.org/Brachypodium_distachyon/Gene/Summary?g=Bradi3g37500","Bradi3g37500")</f>
        <v>Bradi3g37500</v>
      </c>
      <c r="I90" s="1" t="s">
        <v>1051</v>
      </c>
      <c r="J90" s="9" t="str">
        <f>HYPERLINK("http://plants.ensembl.org/Oryza_sativa/Gene/Summary?db=otherfeatures;g=LOC_Os09g26620","LOC_Os09g26620")</f>
        <v>LOC_Os09g26620</v>
      </c>
      <c r="L90" s="6"/>
      <c r="M90" s="1" t="s">
        <v>973</v>
      </c>
      <c r="N90" s="1" t="s">
        <v>973</v>
      </c>
      <c r="O90" s="1" t="s">
        <v>973</v>
      </c>
      <c r="P90" s="1">
        <v>1</v>
      </c>
      <c r="Q90" s="1" t="s">
        <v>973</v>
      </c>
      <c r="R90" s="1" t="s">
        <v>973</v>
      </c>
      <c r="S90" s="1"/>
      <c r="T90" s="6"/>
      <c r="U90" s="11">
        <v>5.5622078194805624</v>
      </c>
      <c r="V90" s="11">
        <v>7.2323815913136889</v>
      </c>
      <c r="W90" s="11">
        <v>3.6776660900619711</v>
      </c>
      <c r="X90" s="11">
        <v>3.7467606275537224</v>
      </c>
      <c r="Y90" s="11">
        <v>5.4497539411906244</v>
      </c>
      <c r="Z90" s="11">
        <v>3.6399035664851356</v>
      </c>
      <c r="AA90" s="11">
        <v>5.1972153823132814</v>
      </c>
      <c r="AB90" s="11">
        <v>3.7232818636725571</v>
      </c>
      <c r="AC90" s="11">
        <v>5.5803897327647958</v>
      </c>
      <c r="AD90" s="11">
        <v>4.186170377655575</v>
      </c>
      <c r="AE90" s="11">
        <v>2.619483441508875</v>
      </c>
      <c r="AF90" s="11">
        <v>1.3906126618162298</v>
      </c>
      <c r="AG90" s="11">
        <v>4.8132390635007871</v>
      </c>
      <c r="AH90" s="11">
        <v>2.3449610219509318</v>
      </c>
      <c r="AI90" s="11">
        <v>3.7555962078491345</v>
      </c>
      <c r="AJ90" s="11">
        <v>2.9983820724252848</v>
      </c>
      <c r="AK90" s="6"/>
      <c r="AL90" t="s">
        <v>1077</v>
      </c>
      <c r="AM90">
        <v>0</v>
      </c>
      <c r="AN90" s="6"/>
      <c r="AO90" s="20">
        <v>3.9399999999999998E-2</v>
      </c>
      <c r="AP90" s="20">
        <v>3.2521</v>
      </c>
      <c r="AQ90" s="20">
        <v>1.175</v>
      </c>
      <c r="AR90" s="20">
        <v>2.6613000000000002</v>
      </c>
      <c r="AS90" s="20">
        <v>0.64190000000000003</v>
      </c>
      <c r="AT90" s="20">
        <v>1.4229000000000001</v>
      </c>
      <c r="AU90" s="20">
        <v>1.4805999999999999</v>
      </c>
      <c r="AV90" s="20">
        <v>0.79059999999999997</v>
      </c>
      <c r="AW90" s="6"/>
      <c r="AX90" s="18">
        <v>0.94430000000000003</v>
      </c>
      <c r="AY90" s="18">
        <v>1.473E-7</v>
      </c>
      <c r="AZ90" s="18">
        <v>6.7129999999999995E-2</v>
      </c>
      <c r="BA90" s="18">
        <v>4.906E-4</v>
      </c>
      <c r="BB90" s="18">
        <v>0.24110000000000001</v>
      </c>
      <c r="BC90" s="18">
        <v>3.3980000000000003E-2</v>
      </c>
      <c r="BD90" s="18">
        <v>9.3749999999999997E-3</v>
      </c>
      <c r="BE90" s="18">
        <v>0.2072</v>
      </c>
      <c r="BF90" s="13"/>
      <c r="BG90" t="s">
        <v>1125</v>
      </c>
      <c r="BH90" t="s">
        <v>1126</v>
      </c>
      <c r="BI90" t="s">
        <v>1113</v>
      </c>
      <c r="BJ90" t="s">
        <v>1127</v>
      </c>
      <c r="BK90" t="s">
        <v>1115</v>
      </c>
      <c r="BL90" t="s">
        <v>1116</v>
      </c>
      <c r="BM90" t="s">
        <v>1117</v>
      </c>
      <c r="BN90" s="13"/>
      <c r="BO90" t="s">
        <v>973</v>
      </c>
      <c r="BP90">
        <v>1</v>
      </c>
      <c r="BQ90" t="s">
        <v>973</v>
      </c>
      <c r="BR90" t="s">
        <v>973</v>
      </c>
    </row>
    <row r="91" spans="1:70" x14ac:dyDescent="0.25">
      <c r="A91" t="s">
        <v>20</v>
      </c>
      <c r="B91" t="s">
        <v>21</v>
      </c>
      <c r="C91" t="s">
        <v>22</v>
      </c>
      <c r="D91" s="6"/>
      <c r="E91" s="9" t="str">
        <f>HYPERLINK("http://plants.ensembl.org/Triticum_aestivum/Gene/Summary?g=TRIAE_CS42_1AL_TGACv1_001035_AA0023850","TRIAE_CS42_1AL_TGACv1_001035_AA0023850")</f>
        <v>TRIAE_CS42_1AL_TGACv1_001035_AA0023850</v>
      </c>
      <c r="F91" s="9" t="str">
        <f>HYPERLINK("http://mar2016-plants.ensembl.org/Triticum_aestivum/Gene/Summary?db=core;g=Traes_1AL_147CF243C","Traes_1AL_147CF243C")</f>
        <v>Traes_1AL_147CF243C</v>
      </c>
      <c r="G91" t="s">
        <v>975</v>
      </c>
      <c r="H91" s="8" t="str">
        <f>HYPERLINK("http://plants.ensembl.org/Brachypodium_distachyon/Gene/Summary?g=Bradi3g28950","Bradi3g28950")</f>
        <v>Bradi3g28950</v>
      </c>
      <c r="I91" s="8" t="str">
        <f>HYPERLINK("http://plants.ensembl.org/Arabidopsis_thaliana/Gene/Summary?g=AT4G30080","AT4G30080")</f>
        <v>AT4G30080</v>
      </c>
      <c r="J91" s="9" t="str">
        <f>HYPERLINK("http://plants.ensembl.org/Oryza_sativa/Gene/Summary?db=otherfeatures;g=LOC_Os10g33940","LOC_Os10g33940")</f>
        <v>LOC_Os10g33940</v>
      </c>
      <c r="K91" s="9" t="str">
        <f>HYPERLINK("http://plants.ensembl.org/Zea_mays/Gene/Summary?db=otherfeatures;g=GRMZM2G153233","GRMZM2G153233")</f>
        <v>GRMZM2G153233</v>
      </c>
      <c r="L91" s="6"/>
      <c r="M91" t="s">
        <v>973</v>
      </c>
      <c r="N91" t="s">
        <v>973</v>
      </c>
      <c r="O91" t="s">
        <v>973</v>
      </c>
      <c r="P91">
        <v>1</v>
      </c>
      <c r="S91" t="s">
        <v>973</v>
      </c>
      <c r="T91" s="6"/>
      <c r="U91" s="11">
        <v>8.0591609235580624</v>
      </c>
      <c r="V91" s="11">
        <v>8.0480930194369176</v>
      </c>
      <c r="W91" s="11">
        <v>8.0455829420280693</v>
      </c>
      <c r="X91" s="11">
        <v>8.1293410670775152</v>
      </c>
      <c r="Y91" s="11">
        <v>9.0859125258045861</v>
      </c>
      <c r="Z91" s="11">
        <v>9.0773125288048284</v>
      </c>
      <c r="AA91" s="11">
        <v>8.5263495171163299</v>
      </c>
      <c r="AB91" s="11">
        <v>8.6082754009532234</v>
      </c>
      <c r="AC91" s="11">
        <v>9.0998906806247675</v>
      </c>
      <c r="AD91" s="11">
        <v>9.5534430017709635</v>
      </c>
      <c r="AE91" s="11">
        <v>8.7475766089277549</v>
      </c>
      <c r="AF91" s="11">
        <v>9.143362209081527</v>
      </c>
      <c r="AG91" s="11">
        <v>9.3710618341934691</v>
      </c>
      <c r="AH91" s="11">
        <v>9.7818020721790049</v>
      </c>
      <c r="AI91" s="11">
        <v>8.9328968067960624</v>
      </c>
      <c r="AJ91" s="11">
        <v>9.4699400925994102</v>
      </c>
      <c r="AK91" s="6"/>
      <c r="AL91" t="s">
        <v>1097</v>
      </c>
      <c r="AM91">
        <v>0</v>
      </c>
      <c r="AN91" s="6"/>
      <c r="AO91" s="20">
        <v>-1.1138999999999999</v>
      </c>
      <c r="AP91" s="20">
        <v>-1.5169999999999999</v>
      </c>
      <c r="AQ91" s="20">
        <v>-0.70240000000000002</v>
      </c>
      <c r="AR91" s="20">
        <v>-1.0175000000000001</v>
      </c>
      <c r="AS91" s="20">
        <v>-0.2828</v>
      </c>
      <c r="AT91" s="20">
        <v>-0.70440000000000003</v>
      </c>
      <c r="AU91" s="20">
        <v>-0.40849999999999997</v>
      </c>
      <c r="AV91" s="20">
        <v>-0.86170000000000002</v>
      </c>
      <c r="AW91" s="6"/>
      <c r="AX91" s="18">
        <v>3.6820000000000002E-11</v>
      </c>
      <c r="AY91" s="18">
        <v>2.1510000000000001E-16</v>
      </c>
      <c r="AZ91" s="18">
        <v>7.8620000000000003E-6</v>
      </c>
      <c r="BA91" s="18">
        <v>9.4749999999999996E-11</v>
      </c>
      <c r="BB91" s="18">
        <v>6.3250000000000001E-2</v>
      </c>
      <c r="BC91" s="18">
        <v>3.7009999999999998E-6</v>
      </c>
      <c r="BD91" s="18">
        <v>8.0579999999999992E-3</v>
      </c>
      <c r="BE91" s="18">
        <v>2.4789999999999999E-8</v>
      </c>
      <c r="BF91" s="13"/>
      <c r="BG91" t="s">
        <v>1213</v>
      </c>
      <c r="BH91" t="s">
        <v>1167</v>
      </c>
      <c r="BI91" t="s">
        <v>1113</v>
      </c>
      <c r="BJ91" t="s">
        <v>1114</v>
      </c>
      <c r="BK91" t="s">
        <v>1115</v>
      </c>
      <c r="BL91" t="s">
        <v>1204</v>
      </c>
      <c r="BM91" t="s">
        <v>1117</v>
      </c>
      <c r="BN91" s="13"/>
      <c r="BO91" t="s">
        <v>973</v>
      </c>
      <c r="BP91" t="s">
        <v>973</v>
      </c>
      <c r="BQ91" t="s">
        <v>973</v>
      </c>
      <c r="BR91" t="s">
        <v>973</v>
      </c>
    </row>
    <row r="92" spans="1:70" x14ac:dyDescent="0.25">
      <c r="A92" t="s">
        <v>53</v>
      </c>
      <c r="B92" t="s">
        <v>54</v>
      </c>
      <c r="C92" t="s">
        <v>22</v>
      </c>
      <c r="D92" s="6"/>
      <c r="E92" s="9" t="str">
        <f>HYPERLINK("http://plants.ensembl.org/Triticum_aestivum/Gene/Summary?g=TRIAE_CS42_1AL_TGACv1_001359_AA0029280","TRIAE_CS42_1AL_TGACv1_001359_AA0029280")</f>
        <v>TRIAE_CS42_1AL_TGACv1_001359_AA0029280</v>
      </c>
      <c r="F92" s="9" t="str">
        <f>HYPERLINK("http://mar2016-plants.ensembl.org/Triticum_aestivum/Gene/Summary?db=core;g=Traes_1AL_B14FE48AF","Traes_1AL_B14FE48AF")</f>
        <v>Traes_1AL_B14FE48AF</v>
      </c>
      <c r="G92" t="s">
        <v>976</v>
      </c>
      <c r="H92" s="8" t="str">
        <f>HYPERLINK("http://plants.ensembl.org/Brachypodium_distachyon/Gene/Summary?g=Bradi2g19867","Bradi2g19867")</f>
        <v>Bradi2g19867</v>
      </c>
      <c r="I92" s="1" t="s">
        <v>1051</v>
      </c>
      <c r="J92" s="9" t="str">
        <f>HYPERLINK("http://plants.ensembl.org/Oryza_sativa/Gene/Summary?db=otherfeatures;g=LOC_Os05g43920","LOC_Os05g43920")</f>
        <v>LOC_Os05g43920</v>
      </c>
      <c r="K92" s="9" t="str">
        <f>HYPERLINK("http://plants.ensembl.org/Zea_mays/Gene/Summary?db=otherfeatures;g=GRMZM2G441325","GRMZM2G441325")</f>
        <v>GRMZM2G441325</v>
      </c>
      <c r="L92" s="6"/>
      <c r="M92" t="s">
        <v>973</v>
      </c>
      <c r="N92" t="s">
        <v>973</v>
      </c>
      <c r="O92" t="s">
        <v>973</v>
      </c>
      <c r="P92">
        <v>1</v>
      </c>
      <c r="S92" t="s">
        <v>973</v>
      </c>
      <c r="T92" s="6"/>
      <c r="U92" s="11">
        <v>5.978536581713958</v>
      </c>
      <c r="V92" s="11">
        <v>5.05851709650043</v>
      </c>
      <c r="W92" s="11">
        <v>4.530717928178202</v>
      </c>
      <c r="X92" s="11">
        <v>4.490373308088853</v>
      </c>
      <c r="Y92" s="11">
        <v>4.2115262372774174</v>
      </c>
      <c r="Z92" s="11">
        <v>5.1432900076920065</v>
      </c>
      <c r="AA92" s="11">
        <v>4.8124845342124587</v>
      </c>
      <c r="AB92" s="11">
        <v>4.8021794276760135</v>
      </c>
      <c r="AC92" s="11">
        <v>6.8859322280899811</v>
      </c>
      <c r="AD92" s="11">
        <v>7.0152459149378963</v>
      </c>
      <c r="AE92" s="11">
        <v>5.0412123123684491</v>
      </c>
      <c r="AF92" s="11">
        <v>5.709954108152214</v>
      </c>
      <c r="AG92" s="11">
        <v>5.2419825143206502</v>
      </c>
      <c r="AH92" s="11">
        <v>6.117837005962949</v>
      </c>
      <c r="AI92" s="11">
        <v>4.6407616587410079</v>
      </c>
      <c r="AJ92" s="11">
        <v>5.5186442391938684</v>
      </c>
      <c r="AK92" s="6"/>
      <c r="AL92" t="s">
        <v>1092</v>
      </c>
      <c r="AM92">
        <v>0</v>
      </c>
      <c r="AN92" s="6"/>
      <c r="AO92" s="20">
        <v>-0.90190000000000003</v>
      </c>
      <c r="AP92" s="20">
        <v>-1.8764000000000001</v>
      </c>
      <c r="AQ92" s="20">
        <v>-0.5212</v>
      </c>
      <c r="AR92" s="20">
        <v>-1.2625</v>
      </c>
      <c r="AS92" s="20">
        <v>-1.0747</v>
      </c>
      <c r="AT92" s="20">
        <v>-0.95469999999999999</v>
      </c>
      <c r="AU92" s="20">
        <v>0.1764</v>
      </c>
      <c r="AV92" s="20">
        <v>-0.73</v>
      </c>
      <c r="AW92" s="6"/>
      <c r="AX92" s="18">
        <v>8.4390000000000003E-3</v>
      </c>
      <c r="AY92" s="18">
        <v>6.5950000000000004E-6</v>
      </c>
      <c r="AZ92" s="18">
        <v>0.14630000000000001</v>
      </c>
      <c r="BA92" s="18">
        <v>4.1869999999999999E-4</v>
      </c>
      <c r="BB92" s="18">
        <v>3.2650000000000001E-3</v>
      </c>
      <c r="BC92" s="18">
        <v>4.4790000000000003E-3</v>
      </c>
      <c r="BD92" s="18">
        <v>0.62070000000000003</v>
      </c>
      <c r="BE92" s="18">
        <v>3.857E-2</v>
      </c>
      <c r="BF92" s="13"/>
      <c r="BG92" t="s">
        <v>1128</v>
      </c>
      <c r="BH92" t="s">
        <v>1112</v>
      </c>
      <c r="BI92" t="s">
        <v>1335</v>
      </c>
      <c r="BJ92" t="s">
        <v>1114</v>
      </c>
      <c r="BK92" t="s">
        <v>1115</v>
      </c>
      <c r="BL92" t="s">
        <v>1116</v>
      </c>
      <c r="BM92" t="s">
        <v>1117</v>
      </c>
      <c r="BN92" s="13"/>
      <c r="BO92" t="s">
        <v>973</v>
      </c>
      <c r="BP92" t="s">
        <v>973</v>
      </c>
      <c r="BQ92" t="s">
        <v>973</v>
      </c>
      <c r="BR92" t="s">
        <v>973</v>
      </c>
    </row>
    <row r="93" spans="1:70" x14ac:dyDescent="0.25">
      <c r="A93" t="s">
        <v>77</v>
      </c>
      <c r="B93" t="s">
        <v>78</v>
      </c>
      <c r="C93" t="s">
        <v>22</v>
      </c>
      <c r="D93" s="6"/>
      <c r="E93" s="9" t="str">
        <f>HYPERLINK("http://plants.ensembl.org/Triticum_aestivum/Gene/Summary?g=TRIAE_CS42_1BL_TGACv1_032954_AA0135740","TRIAE_CS42_1BL_TGACv1_032954_AA0135740")</f>
        <v>TRIAE_CS42_1BL_TGACv1_032954_AA0135740</v>
      </c>
      <c r="F93" s="9" t="str">
        <f>HYPERLINK("http://mar2016-plants.ensembl.org/Triticum_aestivum/Gene/Summary?db=core;g=Traes_1BL_54CD82AC3","Traes_1BL_54CD82AC3")</f>
        <v>Traes_1BL_54CD82AC3</v>
      </c>
      <c r="G93" t="s">
        <v>975</v>
      </c>
      <c r="H93" s="8" t="str">
        <f>HYPERLINK("http://plants.ensembl.org/Brachypodium_distachyon/Gene/Summary?g=Bradi3g28950","Bradi3g28950")</f>
        <v>Bradi3g28950</v>
      </c>
      <c r="I93" s="8" t="str">
        <f>HYPERLINK("http://plants.ensembl.org/Arabidopsis_thaliana/Gene/Summary?g=AT4G30080","AT4G30080")</f>
        <v>AT4G30080</v>
      </c>
      <c r="J93" s="9" t="str">
        <f>HYPERLINK("http://plants.ensembl.org/Oryza_sativa/Gene/Summary?db=otherfeatures;g=LOC_Os10g33940","LOC_Os10g33940")</f>
        <v>LOC_Os10g33940</v>
      </c>
      <c r="K93" s="9" t="str">
        <f>HYPERLINK("http://plants.ensembl.org/Zea_mays/Gene/Summary?db=otherfeatures;g=GRMZM2G153233","GRMZM2G153233")</f>
        <v>GRMZM2G153233</v>
      </c>
      <c r="L93" s="6"/>
      <c r="M93" t="s">
        <v>973</v>
      </c>
      <c r="N93" t="s">
        <v>973</v>
      </c>
      <c r="O93" t="s">
        <v>973</v>
      </c>
      <c r="P93">
        <v>1</v>
      </c>
      <c r="S93" t="s">
        <v>973</v>
      </c>
      <c r="T93" s="6"/>
      <c r="U93" s="11">
        <v>7.7924361101289508</v>
      </c>
      <c r="V93" s="11">
        <v>6.7010698347909301</v>
      </c>
      <c r="W93" s="11">
        <v>8.6627523893648242</v>
      </c>
      <c r="X93" s="11">
        <v>8.3452007487772146</v>
      </c>
      <c r="Y93" s="11">
        <v>8.6204229250742959</v>
      </c>
      <c r="Z93" s="11">
        <v>8.5971096313641961</v>
      </c>
      <c r="AA93" s="11">
        <v>8.62007658768227</v>
      </c>
      <c r="AB93" s="11">
        <v>8.3213327100646861</v>
      </c>
      <c r="AC93" s="11">
        <v>8.5899890152743072</v>
      </c>
      <c r="AD93" s="11">
        <v>8.66137919385163</v>
      </c>
      <c r="AE93" s="11">
        <v>9.3332513031154072</v>
      </c>
      <c r="AF93" s="11">
        <v>9.3446108989359526</v>
      </c>
      <c r="AG93" s="11">
        <v>9.2359439295848933</v>
      </c>
      <c r="AH93" s="11">
        <v>9.1123631344535259</v>
      </c>
      <c r="AI93" s="11">
        <v>8.8373776340907462</v>
      </c>
      <c r="AJ93" s="11">
        <v>8.9983225496685311</v>
      </c>
      <c r="AK93" s="6"/>
      <c r="AL93" t="s">
        <v>1107</v>
      </c>
      <c r="AM93">
        <v>0</v>
      </c>
      <c r="AN93" s="6"/>
      <c r="AO93" s="20">
        <v>-0.86719999999999997</v>
      </c>
      <c r="AP93" s="20">
        <v>-1.9460999999999999</v>
      </c>
      <c r="AQ93" s="20">
        <v>-0.67</v>
      </c>
      <c r="AR93" s="20">
        <v>-0.99929999999999997</v>
      </c>
      <c r="AS93" s="20">
        <v>-0.61370000000000002</v>
      </c>
      <c r="AT93" s="20">
        <v>-0.51829999999999998</v>
      </c>
      <c r="AU93" s="20">
        <v>-0.21340000000000001</v>
      </c>
      <c r="AV93" s="20">
        <v>-0.67859999999999998</v>
      </c>
      <c r="AW93" s="6"/>
      <c r="AX93" s="18">
        <v>5.3430000000000003E-9</v>
      </c>
      <c r="AY93" s="18">
        <v>4.7450000000000003E-22</v>
      </c>
      <c r="AZ93" s="18">
        <v>1.202E-7</v>
      </c>
      <c r="BA93" s="18">
        <v>1.013E-14</v>
      </c>
      <c r="BB93" s="18">
        <v>1.3289999999999999E-6</v>
      </c>
      <c r="BC93" s="18">
        <v>5.202E-5</v>
      </c>
      <c r="BD93" s="18">
        <v>9.3600000000000003E-2</v>
      </c>
      <c r="BE93" s="18">
        <v>1.924E-7</v>
      </c>
      <c r="BF93" s="13"/>
      <c r="BG93" t="s">
        <v>1128</v>
      </c>
      <c r="BH93" t="s">
        <v>1157</v>
      </c>
      <c r="BI93" t="s">
        <v>1113</v>
      </c>
      <c r="BJ93" t="s">
        <v>1148</v>
      </c>
      <c r="BK93" t="s">
        <v>1115</v>
      </c>
      <c r="BL93" t="s">
        <v>1116</v>
      </c>
      <c r="BM93" t="s">
        <v>1117</v>
      </c>
      <c r="BN93" s="13"/>
      <c r="BO93" t="s">
        <v>973</v>
      </c>
      <c r="BP93" t="s">
        <v>973</v>
      </c>
      <c r="BQ93" t="s">
        <v>973</v>
      </c>
      <c r="BR93" t="s">
        <v>973</v>
      </c>
    </row>
    <row r="94" spans="1:70" x14ac:dyDescent="0.25">
      <c r="A94" t="s">
        <v>91</v>
      </c>
      <c r="B94" t="s">
        <v>92</v>
      </c>
      <c r="C94" t="s">
        <v>22</v>
      </c>
      <c r="D94" s="6"/>
      <c r="E94" s="9" t="str">
        <f>HYPERLINK("http://plants.ensembl.org/Triticum_aestivum/Gene/Summary?g=TRIAE_CS42_U_TGACv1_641066_AA2084040","TRIAE_CS42_U_TGACv1_641066_AA2084040")</f>
        <v>TRIAE_CS42_U_TGACv1_641066_AA2084040</v>
      </c>
      <c r="F94" s="9" t="str">
        <f>HYPERLINK("http://mar2016-plants.ensembl.org/Triticum_aestivum/Gene/Summary?db=core;g=Traes_1BL_A9AC1340E","Traes_1BL_A9AC1340E")</f>
        <v>Traes_1BL_A9AC1340E</v>
      </c>
      <c r="H94" s="8" t="str">
        <f>HYPERLINK("http://plants.ensembl.org/Brachypodium_distachyon/Gene/Summary?g=Bradi2g19867","Bradi2g19867")</f>
        <v>Bradi2g19867</v>
      </c>
      <c r="I94" s="1" t="s">
        <v>1051</v>
      </c>
      <c r="J94" s="9" t="str">
        <f>HYPERLINK("http://plants.ensembl.org/Oryza_sativa/Gene/Summary?db=otherfeatures;g=LOC_Os05g43920","LOC_Os05g43920")</f>
        <v>LOC_Os05g43920</v>
      </c>
      <c r="L94" s="6"/>
      <c r="M94" s="1" t="s">
        <v>973</v>
      </c>
      <c r="N94" s="1" t="s">
        <v>973</v>
      </c>
      <c r="O94" s="1" t="s">
        <v>973</v>
      </c>
      <c r="P94" s="1">
        <v>1</v>
      </c>
      <c r="Q94" s="1" t="s">
        <v>973</v>
      </c>
      <c r="R94" s="1" t="s">
        <v>973</v>
      </c>
      <c r="S94" s="1"/>
      <c r="T94" s="6"/>
      <c r="U94" s="11">
        <v>6.0141789627273532</v>
      </c>
      <c r="V94" s="11">
        <v>5.6980063560794827</v>
      </c>
      <c r="W94" s="11">
        <v>6.4139076972978737</v>
      </c>
      <c r="X94" s="11">
        <v>6.662521695548774</v>
      </c>
      <c r="Y94" s="11">
        <v>6.5254205803949645</v>
      </c>
      <c r="Z94" s="11">
        <v>7.1174547119872855</v>
      </c>
      <c r="AA94" s="11">
        <v>6.9656523201204106</v>
      </c>
      <c r="AB94" s="11">
        <v>6.5827812810815871</v>
      </c>
      <c r="AC94" s="11">
        <v>5.7162309480396587</v>
      </c>
      <c r="AD94" s="11">
        <v>6.7844511983101192</v>
      </c>
      <c r="AE94" s="11">
        <v>6.4773357154747275</v>
      </c>
      <c r="AF94" s="11">
        <v>7.2267352175491073</v>
      </c>
      <c r="AG94" s="11">
        <v>6.1660452179756504</v>
      </c>
      <c r="AH94" s="11">
        <v>7.3675216297667445</v>
      </c>
      <c r="AI94" s="11">
        <v>6.0191674015838013</v>
      </c>
      <c r="AJ94" s="11">
        <v>6.7391797835872476</v>
      </c>
      <c r="AK94" s="6"/>
      <c r="AL94" t="s">
        <v>1082</v>
      </c>
      <c r="AM94">
        <v>0</v>
      </c>
      <c r="AN94" s="6"/>
      <c r="AO94" s="20">
        <v>0.24679999999999999</v>
      </c>
      <c r="AP94" s="20">
        <v>-1.006</v>
      </c>
      <c r="AQ94" s="20">
        <v>-6.1899999999999997E-2</v>
      </c>
      <c r="AR94" s="20">
        <v>-0.57920000000000005</v>
      </c>
      <c r="AS94" s="20">
        <v>0.35720000000000002</v>
      </c>
      <c r="AT94" s="20">
        <v>-0.23730000000000001</v>
      </c>
      <c r="AU94" s="20">
        <v>0.95840000000000003</v>
      </c>
      <c r="AV94" s="20">
        <v>-0.1542</v>
      </c>
      <c r="AW94" s="6"/>
      <c r="AX94" s="18">
        <v>0.35310000000000002</v>
      </c>
      <c r="AY94" s="18">
        <v>1.122E-3</v>
      </c>
      <c r="AZ94" s="18">
        <v>0.77949999999999997</v>
      </c>
      <c r="BA94" s="18">
        <v>7.2700000000000004E-3</v>
      </c>
      <c r="BB94" s="18">
        <v>0.1052</v>
      </c>
      <c r="BC94" s="18">
        <v>0.25869999999999999</v>
      </c>
      <c r="BD94" s="18">
        <v>1.34E-5</v>
      </c>
      <c r="BE94" s="18">
        <v>0.48349999999999999</v>
      </c>
      <c r="BF94" s="13"/>
      <c r="BG94" t="s">
        <v>1128</v>
      </c>
      <c r="BH94" t="s">
        <v>1199</v>
      </c>
      <c r="BI94" t="s">
        <v>1113</v>
      </c>
      <c r="BJ94" t="s">
        <v>1114</v>
      </c>
      <c r="BK94" t="s">
        <v>1198</v>
      </c>
      <c r="BL94" t="s">
        <v>1116</v>
      </c>
      <c r="BM94" t="s">
        <v>1117</v>
      </c>
      <c r="BN94" s="13"/>
      <c r="BO94" t="s">
        <v>973</v>
      </c>
      <c r="BP94" t="s">
        <v>973</v>
      </c>
      <c r="BQ94" t="s">
        <v>973</v>
      </c>
      <c r="BR94" t="s">
        <v>973</v>
      </c>
    </row>
    <row r="95" spans="1:70" x14ac:dyDescent="0.25">
      <c r="A95" t="s">
        <v>95</v>
      </c>
      <c r="B95" t="s">
        <v>96</v>
      </c>
      <c r="C95" t="s">
        <v>22</v>
      </c>
      <c r="D95" s="6"/>
      <c r="E95" s="9" t="str">
        <f>HYPERLINK("http://plants.ensembl.org/Triticum_aestivum/Gene/Summary?g=TRIAE_CS42_U_TGACv1_640950_AA2080410","TRIAE_CS42_U_TGACv1_640950_AA2080410")</f>
        <v>TRIAE_CS42_U_TGACv1_640950_AA2080410</v>
      </c>
      <c r="F95" s="9" t="str">
        <f>HYPERLINK("http://mar2016-plants.ensembl.org/Triticum_aestivum/Gene/Summary?db=core;g=Traes_1BL_408EABE70","Traes_1BL_408EABE70")</f>
        <v>Traes_1BL_408EABE70</v>
      </c>
      <c r="H95" s="8" t="str">
        <f>HYPERLINK("http://plants.ensembl.org/Brachypodium_distachyon/Gene/Summary?g=Bradi2g16610","Bradi2g16610")</f>
        <v>Bradi2g16610</v>
      </c>
      <c r="I95" s="8" t="str">
        <f>HYPERLINK("http://plants.ensembl.org/Arabidopsis_thaliana/Gene/Summary?g=AT2G33860","AT2G33860")</f>
        <v>AT2G33860</v>
      </c>
      <c r="J95" s="9" t="str">
        <f>HYPERLINK("http://plants.ensembl.org/Oryza_sativa/Gene/Summary?db=otherfeatures;g=LOC_Os05g48870","LOC_Os05g48870")</f>
        <v>LOC_Os05g48870</v>
      </c>
      <c r="L95" s="6"/>
      <c r="M95" s="1" t="s">
        <v>973</v>
      </c>
      <c r="N95" s="1" t="s">
        <v>973</v>
      </c>
      <c r="O95" s="1" t="s">
        <v>973</v>
      </c>
      <c r="P95" s="1">
        <v>1</v>
      </c>
      <c r="Q95" s="1" t="s">
        <v>973</v>
      </c>
      <c r="R95" s="1" t="s">
        <v>973</v>
      </c>
      <c r="S95" s="1"/>
      <c r="T95" s="6"/>
      <c r="U95" s="11">
        <v>6.4058244891658456</v>
      </c>
      <c r="V95" s="11">
        <v>4.9265324212134178</v>
      </c>
      <c r="W95" s="11">
        <v>6.8024603579556224</v>
      </c>
      <c r="X95" s="11">
        <v>5.7372441877451514</v>
      </c>
      <c r="Y95" s="11">
        <v>6.6618673877389067</v>
      </c>
      <c r="Z95" s="11">
        <v>6.1301964345858</v>
      </c>
      <c r="AA95" s="11">
        <v>6.591720302289179</v>
      </c>
      <c r="AB95" s="11">
        <v>6.0615342883174126</v>
      </c>
      <c r="AC95" s="11">
        <v>7.349188622039426</v>
      </c>
      <c r="AD95" s="11">
        <v>6.3771804468098843</v>
      </c>
      <c r="AE95" s="11">
        <v>7.1473219642367845</v>
      </c>
      <c r="AF95" s="11">
        <v>6.948691168837354</v>
      </c>
      <c r="AG95" s="11">
        <v>7.6049344381320472</v>
      </c>
      <c r="AH95" s="11">
        <v>6.7856181165492355</v>
      </c>
      <c r="AI95" s="11">
        <v>7.1859732241734644</v>
      </c>
      <c r="AJ95" s="11">
        <v>6.7360911461826918</v>
      </c>
      <c r="AK95" s="6"/>
      <c r="AL95" t="s">
        <v>1075</v>
      </c>
      <c r="AM95">
        <v>0</v>
      </c>
      <c r="AN95" s="6"/>
      <c r="AO95" s="20">
        <v>-0.95189999999999997</v>
      </c>
      <c r="AP95" s="20">
        <v>-1.9884999999999999</v>
      </c>
      <c r="AQ95" s="20">
        <v>-0.34360000000000002</v>
      </c>
      <c r="AR95" s="20">
        <v>-1.2061999999999999</v>
      </c>
      <c r="AS95" s="20">
        <v>-0.94710000000000005</v>
      </c>
      <c r="AT95" s="20">
        <v>-0.67490000000000006</v>
      </c>
      <c r="AU95" s="20">
        <v>-0.60040000000000004</v>
      </c>
      <c r="AV95" s="20">
        <v>-0.67930000000000001</v>
      </c>
      <c r="AW95" s="6"/>
      <c r="AX95" s="18">
        <v>1.504E-4</v>
      </c>
      <c r="AY95" s="18">
        <v>9.5089999999999997E-7</v>
      </c>
      <c r="AZ95" s="18">
        <v>0.12920000000000001</v>
      </c>
      <c r="BA95" s="18">
        <v>6.8149999999999995E-7</v>
      </c>
      <c r="BB95" s="18">
        <v>2.6740000000000001E-5</v>
      </c>
      <c r="BC95" s="18">
        <v>4.3930000000000002E-3</v>
      </c>
      <c r="BD95" s="18">
        <v>7.8810000000000009E-3</v>
      </c>
      <c r="BE95" s="18">
        <v>4.6550000000000003E-3</v>
      </c>
      <c r="BF95" s="13"/>
      <c r="BG95" t="s">
        <v>1291</v>
      </c>
      <c r="BH95" t="s">
        <v>1112</v>
      </c>
      <c r="BI95" t="s">
        <v>1113</v>
      </c>
      <c r="BJ95" t="s">
        <v>1296</v>
      </c>
      <c r="BK95" t="s">
        <v>1115</v>
      </c>
      <c r="BL95" t="s">
        <v>1116</v>
      </c>
      <c r="BM95" t="s">
        <v>1117</v>
      </c>
      <c r="BN95" s="13"/>
      <c r="BO95" t="s">
        <v>973</v>
      </c>
      <c r="BP95" t="s">
        <v>973</v>
      </c>
      <c r="BQ95" t="s">
        <v>973</v>
      </c>
      <c r="BR95" t="s">
        <v>973</v>
      </c>
    </row>
    <row r="96" spans="1:70" x14ac:dyDescent="0.25">
      <c r="A96" t="s">
        <v>105</v>
      </c>
      <c r="B96" t="s">
        <v>106</v>
      </c>
      <c r="C96" t="s">
        <v>22</v>
      </c>
      <c r="D96" s="6"/>
      <c r="E96" s="9" t="str">
        <f>HYPERLINK("http://plants.ensembl.org/Triticum_aestivum/Gene/Summary?g=TRIAE_CS42_1DL_TGACv1_062229_AA0211020","TRIAE_CS42_1DL_TGACv1_062229_AA0211020")</f>
        <v>TRIAE_CS42_1DL_TGACv1_062229_AA0211020</v>
      </c>
      <c r="F96" s="9" t="str">
        <f>HYPERLINK("http://mar2016-plants.ensembl.org/Triticum_aestivum/Gene/Summary?db=core;g=Traes_1DL_AEC2F3FB3","Traes_1DL_AEC2F3FB3")</f>
        <v>Traes_1DL_AEC2F3FB3</v>
      </c>
      <c r="H96" s="8" t="str">
        <f>HYPERLINK("http://plants.ensembl.org/Brachypodium_distachyon/Gene/Summary?g=Bradi3g28950","Bradi3g28950")</f>
        <v>Bradi3g28950</v>
      </c>
      <c r="I96" s="1" t="s">
        <v>1051</v>
      </c>
      <c r="J96" s="9" t="str">
        <f>HYPERLINK("http://plants.ensembl.org/Oryza_sativa/Gene/Summary?db=otherfeatures;g=LOC_Os10g33940","LOC_Os10g33940")</f>
        <v>LOC_Os10g33940</v>
      </c>
      <c r="L96" s="6"/>
      <c r="M96" s="1" t="s">
        <v>973</v>
      </c>
      <c r="N96" s="1" t="s">
        <v>973</v>
      </c>
      <c r="O96" s="1" t="s">
        <v>973</v>
      </c>
      <c r="P96" s="1">
        <v>1</v>
      </c>
      <c r="Q96" s="1" t="s">
        <v>973</v>
      </c>
      <c r="R96" s="1" t="s">
        <v>973</v>
      </c>
      <c r="S96" s="1"/>
      <c r="T96" s="6"/>
      <c r="U96" s="11">
        <v>8.3506621044692242</v>
      </c>
      <c r="V96" s="11">
        <v>7.8485985301982772</v>
      </c>
      <c r="W96" s="11">
        <v>8.8544943142622117</v>
      </c>
      <c r="X96" s="11">
        <v>8.7797116957637353</v>
      </c>
      <c r="Y96" s="11">
        <v>8.7808390471215247</v>
      </c>
      <c r="Z96" s="11">
        <v>8.7774728676128788</v>
      </c>
      <c r="AA96" s="11">
        <v>9.0983266470020929</v>
      </c>
      <c r="AB96" s="11">
        <v>8.9569844730915626</v>
      </c>
      <c r="AC96" s="11">
        <v>9.1723450784804026</v>
      </c>
      <c r="AD96" s="11">
        <v>9.0978391841952995</v>
      </c>
      <c r="AE96" s="11">
        <v>9.4025594677465314</v>
      </c>
      <c r="AF96" s="11">
        <v>9.6231116644533721</v>
      </c>
      <c r="AG96" s="11">
        <v>9.4044820277693635</v>
      </c>
      <c r="AH96" s="11">
        <v>9.4295071721907817</v>
      </c>
      <c r="AI96" s="11">
        <v>9.369464157096612</v>
      </c>
      <c r="AJ96" s="11">
        <v>9.5992759451147656</v>
      </c>
      <c r="AK96" s="6"/>
      <c r="AL96" t="s">
        <v>1076</v>
      </c>
      <c r="AM96">
        <v>0</v>
      </c>
      <c r="AN96" s="6"/>
      <c r="AO96" s="20">
        <v>-0.86860000000000004</v>
      </c>
      <c r="AP96" s="20">
        <v>-1.3080000000000001</v>
      </c>
      <c r="AQ96" s="20">
        <v>-0.54790000000000005</v>
      </c>
      <c r="AR96" s="20">
        <v>-0.84440000000000004</v>
      </c>
      <c r="AS96" s="20">
        <v>-0.62209999999999999</v>
      </c>
      <c r="AT96" s="20">
        <v>-0.65669999999999995</v>
      </c>
      <c r="AU96" s="20">
        <v>-0.27039999999999997</v>
      </c>
      <c r="AV96" s="20">
        <v>-0.6431</v>
      </c>
      <c r="AW96" s="6"/>
      <c r="AX96" s="18">
        <v>3.561E-9</v>
      </c>
      <c r="AY96" s="18">
        <v>6.2209999999999994E-14</v>
      </c>
      <c r="AZ96" s="18">
        <v>4.2339999999999998E-5</v>
      </c>
      <c r="BA96" s="18">
        <v>3.5439999999999999E-10</v>
      </c>
      <c r="BB96" s="18">
        <v>3.433E-6</v>
      </c>
      <c r="BC96" s="18">
        <v>1.057E-6</v>
      </c>
      <c r="BD96" s="18">
        <v>4.1540000000000001E-2</v>
      </c>
      <c r="BE96" s="18">
        <v>1.6169999999999999E-6</v>
      </c>
      <c r="BF96" s="13"/>
      <c r="BG96" t="s">
        <v>1128</v>
      </c>
      <c r="BH96" t="s">
        <v>1130</v>
      </c>
      <c r="BI96" t="s">
        <v>1113</v>
      </c>
      <c r="BJ96" t="s">
        <v>1114</v>
      </c>
      <c r="BK96" t="s">
        <v>1115</v>
      </c>
      <c r="BL96" t="s">
        <v>1116</v>
      </c>
      <c r="BM96" t="s">
        <v>1117</v>
      </c>
      <c r="BN96" s="13"/>
      <c r="BO96" t="s">
        <v>973</v>
      </c>
      <c r="BP96" t="s">
        <v>973</v>
      </c>
      <c r="BQ96" t="s">
        <v>973</v>
      </c>
      <c r="BR96" t="s">
        <v>973</v>
      </c>
    </row>
    <row r="97" spans="1:70" x14ac:dyDescent="0.25">
      <c r="A97" t="s">
        <v>112</v>
      </c>
      <c r="B97" t="s">
        <v>54</v>
      </c>
      <c r="C97" t="s">
        <v>22</v>
      </c>
      <c r="D97" s="6"/>
      <c r="E97" s="9" t="str">
        <f>HYPERLINK("http://plants.ensembl.org/Triticum_aestivum/Gene/Summary?g=TRIAE_CS42_1DL_TGACv1_063230_AA0225280","TRIAE_CS42_1DL_TGACv1_063230_AA0225280")</f>
        <v>TRIAE_CS42_1DL_TGACv1_063230_AA0225280</v>
      </c>
      <c r="F97" s="9" t="str">
        <f>HYPERLINK("http://mar2016-plants.ensembl.org/Triticum_aestivum/Gene/Summary?db=core;g=Traes_1DL_92BCA55C0","Traes_1DL_92BCA55C0")</f>
        <v>Traes_1DL_92BCA55C0</v>
      </c>
      <c r="H97" s="8" t="str">
        <f>HYPERLINK("http://plants.ensembl.org/Brachypodium_distachyon/Gene/Summary?g=Bradi2g19867","Bradi2g19867")</f>
        <v>Bradi2g19867</v>
      </c>
      <c r="I97" s="1" t="s">
        <v>1051</v>
      </c>
      <c r="J97" s="9" t="str">
        <f>HYPERLINK("http://plants.ensembl.org/Oryza_sativa/Gene/Summary?db=otherfeatures;g=LOC_Os05g43920","LOC_Os05g43920")</f>
        <v>LOC_Os05g43920</v>
      </c>
      <c r="L97" s="6"/>
      <c r="M97" s="1" t="s">
        <v>973</v>
      </c>
      <c r="N97" s="1" t="s">
        <v>973</v>
      </c>
      <c r="O97" s="1" t="s">
        <v>973</v>
      </c>
      <c r="P97" s="1">
        <v>1</v>
      </c>
      <c r="Q97" s="1" t="s">
        <v>973</v>
      </c>
      <c r="R97" s="1" t="s">
        <v>973</v>
      </c>
      <c r="S97" s="1"/>
      <c r="T97" s="6"/>
      <c r="U97" s="11">
        <v>5.2640872390515598</v>
      </c>
      <c r="V97" s="11">
        <v>4.4065094595554877</v>
      </c>
      <c r="W97" s="11">
        <v>5.709269495159484</v>
      </c>
      <c r="X97" s="11">
        <v>6.2714175830729921</v>
      </c>
      <c r="Y97" s="11">
        <v>6.0611627057998332</v>
      </c>
      <c r="Z97" s="11">
        <v>6.9864871639697901</v>
      </c>
      <c r="AA97" s="11">
        <v>6.1320325078272733</v>
      </c>
      <c r="AB97" s="11">
        <v>6.3567219229831524</v>
      </c>
      <c r="AC97" s="11">
        <v>5.6675449361456822</v>
      </c>
      <c r="AD97" s="11">
        <v>7.1351079737554439</v>
      </c>
      <c r="AE97" s="11">
        <v>6.197884389228955</v>
      </c>
      <c r="AF97" s="11">
        <v>7.3120325126901333</v>
      </c>
      <c r="AG97" s="11">
        <v>5.9168516008758187</v>
      </c>
      <c r="AH97" s="11">
        <v>7.5182972404415969</v>
      </c>
      <c r="AI97" s="11">
        <v>5.3745178810462919</v>
      </c>
      <c r="AJ97" s="11">
        <v>6.792353895734907</v>
      </c>
      <c r="AK97" s="6"/>
      <c r="AL97" t="s">
        <v>1082</v>
      </c>
      <c r="AM97">
        <v>0</v>
      </c>
      <c r="AN97" s="6"/>
      <c r="AO97" s="20">
        <v>-0.44180000000000003</v>
      </c>
      <c r="AP97" s="20">
        <v>-2.4209999999999998</v>
      </c>
      <c r="AQ97" s="20">
        <v>-0.48520000000000002</v>
      </c>
      <c r="AR97" s="20">
        <v>-1.0558000000000001</v>
      </c>
      <c r="AS97" s="20">
        <v>0.14610000000000001</v>
      </c>
      <c r="AT97" s="20">
        <v>-0.52339999999999998</v>
      </c>
      <c r="AU97" s="20">
        <v>0.77769999999999995</v>
      </c>
      <c r="AV97" s="20">
        <v>-0.43680000000000002</v>
      </c>
      <c r="AW97" s="6"/>
      <c r="AX97" s="18">
        <v>0.2427</v>
      </c>
      <c r="AY97" s="18">
        <v>5.3650000000000001E-8</v>
      </c>
      <c r="AZ97" s="18">
        <v>0.1447</v>
      </c>
      <c r="BA97" s="18">
        <v>1.109E-3</v>
      </c>
      <c r="BB97" s="18">
        <v>0.65780000000000005</v>
      </c>
      <c r="BC97" s="18">
        <v>9.937E-2</v>
      </c>
      <c r="BD97" s="18">
        <v>2.0480000000000002E-2</v>
      </c>
      <c r="BE97" s="18">
        <v>0.1797</v>
      </c>
      <c r="BF97" s="13"/>
      <c r="BG97" t="s">
        <v>1249</v>
      </c>
      <c r="BH97" t="s">
        <v>1141</v>
      </c>
      <c r="BI97" t="s">
        <v>1113</v>
      </c>
      <c r="BJ97" t="s">
        <v>1114</v>
      </c>
      <c r="BK97" t="s">
        <v>1139</v>
      </c>
      <c r="BL97" t="s">
        <v>1116</v>
      </c>
      <c r="BM97" t="s">
        <v>1117</v>
      </c>
      <c r="BN97" s="13"/>
      <c r="BO97" t="s">
        <v>973</v>
      </c>
      <c r="BP97" t="s">
        <v>973</v>
      </c>
      <c r="BQ97" t="s">
        <v>973</v>
      </c>
      <c r="BR97" t="s">
        <v>973</v>
      </c>
    </row>
    <row r="98" spans="1:70" x14ac:dyDescent="0.25">
      <c r="A98" t="s">
        <v>119</v>
      </c>
      <c r="B98" t="s">
        <v>120</v>
      </c>
      <c r="C98" t="s">
        <v>22</v>
      </c>
      <c r="D98" s="6"/>
      <c r="E98" s="9" t="str">
        <f>HYPERLINK("http://plants.ensembl.org/Triticum_aestivum/Gene/Summary?g=TRIAE_CS42_1DL_TGACv1_062287_AA0211840","TRIAE_CS42_1DL_TGACv1_062287_AA0211840")</f>
        <v>TRIAE_CS42_1DL_TGACv1_062287_AA0211840</v>
      </c>
      <c r="F98" s="9" t="str">
        <f>HYPERLINK("http://mar2016-plants.ensembl.org/Triticum_aestivum/Gene/Summary?db=core;g=Traes_1DL_AF4C1F109","Traes_1DL_AF4C1F109")</f>
        <v>Traes_1DL_AF4C1F109</v>
      </c>
      <c r="H98" s="8" t="str">
        <f>HYPERLINK("http://plants.ensembl.org/Brachypodium_distachyon/Gene/Summary?g=Bradi2g16610","Bradi2g16610")</f>
        <v>Bradi2g16610</v>
      </c>
      <c r="I98" s="8" t="str">
        <f>HYPERLINK("http://plants.ensembl.org/Arabidopsis_thaliana/Gene/Summary?g=AT2G33860","AT2G33860")</f>
        <v>AT2G33860</v>
      </c>
      <c r="J98" s="9" t="str">
        <f>HYPERLINK("http://plants.ensembl.org/Oryza_sativa/Gene/Summary?db=otherfeatures;g=LOC_Os05g48870","LOC_Os05g48870")</f>
        <v>LOC_Os05g48870</v>
      </c>
      <c r="L98" s="6"/>
      <c r="M98" s="1" t="s">
        <v>973</v>
      </c>
      <c r="N98" s="1" t="s">
        <v>973</v>
      </c>
      <c r="O98" s="1" t="s">
        <v>973</v>
      </c>
      <c r="P98" s="1">
        <v>1</v>
      </c>
      <c r="Q98" s="1" t="s">
        <v>973</v>
      </c>
      <c r="R98" s="1" t="s">
        <v>973</v>
      </c>
      <c r="S98" s="1"/>
      <c r="T98" s="6"/>
      <c r="U98" s="11">
        <v>5.329057800241273</v>
      </c>
      <c r="V98" s="11">
        <v>3.4214567152452799</v>
      </c>
      <c r="W98" s="11">
        <v>5.7857127019676318</v>
      </c>
      <c r="X98" s="11">
        <v>4.6395428225515865</v>
      </c>
      <c r="Y98" s="11">
        <v>5.2988379081891992</v>
      </c>
      <c r="Z98" s="11">
        <v>4.9431321124638439</v>
      </c>
      <c r="AA98" s="11">
        <v>6.0012115052909829</v>
      </c>
      <c r="AB98" s="11">
        <v>5.2390708367514032</v>
      </c>
      <c r="AC98" s="11">
        <v>6.8800267106254971</v>
      </c>
      <c r="AD98" s="11">
        <v>5.5723682642388725</v>
      </c>
      <c r="AE98" s="11">
        <v>6.4016845029295926</v>
      </c>
      <c r="AF98" s="11">
        <v>5.6986972594121692</v>
      </c>
      <c r="AG98" s="11">
        <v>6.6520762867230898</v>
      </c>
      <c r="AH98" s="11">
        <v>5.7224013567667829</v>
      </c>
      <c r="AI98" s="11">
        <v>6.6540454647383225</v>
      </c>
      <c r="AJ98" s="11">
        <v>6.1996939360291519</v>
      </c>
      <c r="AK98" s="6"/>
      <c r="AL98" t="s">
        <v>1076</v>
      </c>
      <c r="AM98">
        <v>0</v>
      </c>
      <c r="AN98" s="6"/>
      <c r="AO98" s="20">
        <v>-1.6135999999999999</v>
      </c>
      <c r="AP98" s="20">
        <v>-2.0817999999999999</v>
      </c>
      <c r="AQ98" s="20">
        <v>-0.61980000000000002</v>
      </c>
      <c r="AR98" s="20">
        <v>-1.1120000000000001</v>
      </c>
      <c r="AS98" s="20">
        <v>-1.3711</v>
      </c>
      <c r="AT98" s="20">
        <v>-0.76739999999999997</v>
      </c>
      <c r="AU98" s="20">
        <v>-0.67349999999999999</v>
      </c>
      <c r="AV98" s="20">
        <v>-0.9768</v>
      </c>
      <c r="AW98" s="6"/>
      <c r="AX98" s="18">
        <v>2.482E-8</v>
      </c>
      <c r="AY98" s="18">
        <v>1.8580000000000002E-5</v>
      </c>
      <c r="AZ98" s="18">
        <v>1.184E-2</v>
      </c>
      <c r="BA98" s="18">
        <v>8.8839999999999996E-5</v>
      </c>
      <c r="BB98" s="18">
        <v>6.6360000000000007E-8</v>
      </c>
      <c r="BC98" s="18">
        <v>4.731E-3</v>
      </c>
      <c r="BD98" s="18">
        <v>4.79E-3</v>
      </c>
      <c r="BE98" s="18">
        <v>2.1220000000000001E-4</v>
      </c>
      <c r="BF98" s="13"/>
      <c r="BG98" t="s">
        <v>1243</v>
      </c>
      <c r="BH98" t="s">
        <v>1112</v>
      </c>
      <c r="BI98" t="s">
        <v>1113</v>
      </c>
      <c r="BJ98" t="s">
        <v>1114</v>
      </c>
      <c r="BK98" t="s">
        <v>1182</v>
      </c>
      <c r="BL98" t="s">
        <v>1116</v>
      </c>
      <c r="BM98" t="s">
        <v>1117</v>
      </c>
      <c r="BN98" s="13"/>
      <c r="BO98" t="s">
        <v>973</v>
      </c>
      <c r="BP98" t="s">
        <v>973</v>
      </c>
      <c r="BQ98" t="s">
        <v>973</v>
      </c>
      <c r="BR98" t="s">
        <v>973</v>
      </c>
    </row>
    <row r="99" spans="1:70" x14ac:dyDescent="0.25">
      <c r="A99" t="s">
        <v>146</v>
      </c>
      <c r="B99" t="s">
        <v>147</v>
      </c>
      <c r="C99" t="s">
        <v>22</v>
      </c>
      <c r="D99" s="6"/>
      <c r="E99" s="9" t="str">
        <f>HYPERLINK("http://plants.ensembl.org/Triticum_aestivum/Gene/Summary?g=TRIAE_CS42_2AL_TGACv1_096334_AA0318680","TRIAE_CS42_2AL_TGACv1_096334_AA0318680")</f>
        <v>TRIAE_CS42_2AL_TGACv1_096334_AA0318680</v>
      </c>
      <c r="F99" s="9" t="str">
        <f>HYPERLINK("http://mar2016-plants.ensembl.org/Triticum_aestivum/Gene/Summary?db=core;g=Traes_2AL_0D5724EC2","Traes_2AL_0D5724EC2")</f>
        <v>Traes_2AL_0D5724EC2</v>
      </c>
      <c r="H99" s="8" t="str">
        <f>HYPERLINK("http://plants.ensembl.org/Brachypodium_distachyon/Gene/Summary?g=Bradi5g07910","Bradi5g07910")</f>
        <v>Bradi5g07910</v>
      </c>
      <c r="I99" s="8" t="str">
        <f>HYPERLINK("http://plants.ensembl.org/Arabidopsis_thaliana/Gene/Summary?g=AT1G27990","AT1G27990")</f>
        <v>AT1G27990</v>
      </c>
      <c r="J99" s="9" t="str">
        <f>HYPERLINK("http://plants.ensembl.org/Oryza_sativa/Gene/Summary?db=otherfeatures;g=LOC_Os04g31710","LOC_Os04g31710")</f>
        <v>LOC_Os04g31710</v>
      </c>
      <c r="L99" s="6"/>
      <c r="M99" s="1" t="s">
        <v>973</v>
      </c>
      <c r="N99" s="1" t="s">
        <v>973</v>
      </c>
      <c r="O99" s="1" t="s">
        <v>973</v>
      </c>
      <c r="P99" s="1">
        <v>1</v>
      </c>
      <c r="Q99" s="1" t="s">
        <v>973</v>
      </c>
      <c r="R99" s="1" t="s">
        <v>973</v>
      </c>
      <c r="S99" s="1"/>
      <c r="T99" s="6"/>
      <c r="U99" s="11">
        <v>1.6521116705810013</v>
      </c>
      <c r="V99" s="11">
        <v>7.1692666216255869</v>
      </c>
      <c r="W99" s="11">
        <v>2.4031131720595535</v>
      </c>
      <c r="X99" s="11">
        <v>4.1314303467055744</v>
      </c>
      <c r="Y99" s="11">
        <v>2.0984083280761512</v>
      </c>
      <c r="Z99" s="11">
        <v>3.9465686803761959</v>
      </c>
      <c r="AA99" s="11">
        <v>2.7275066411716211</v>
      </c>
      <c r="AB99" s="11">
        <v>4.2447044279389257</v>
      </c>
      <c r="AC99" s="11">
        <v>1.8268704625875416</v>
      </c>
      <c r="AD99" s="11">
        <v>3.8699635041526035</v>
      </c>
      <c r="AE99" s="11">
        <v>0.87200131148317983</v>
      </c>
      <c r="AF99" s="11">
        <v>0.666726298757507</v>
      </c>
      <c r="AG99" s="11">
        <v>0.94098107156609445</v>
      </c>
      <c r="AH99" s="11">
        <v>2.4272575240488217</v>
      </c>
      <c r="AI99" s="11">
        <v>1.3446580898817571</v>
      </c>
      <c r="AJ99" s="11">
        <v>2.5553417215486154</v>
      </c>
      <c r="AK99" s="6"/>
      <c r="AL99" t="s">
        <v>1104</v>
      </c>
      <c r="AM99">
        <v>0</v>
      </c>
      <c r="AN99" s="6"/>
      <c r="AO99" s="20">
        <v>0.19409999999999999</v>
      </c>
      <c r="AP99" s="20">
        <v>3.4773000000000001</v>
      </c>
      <c r="AQ99" s="20">
        <v>2.2582</v>
      </c>
      <c r="AR99" s="20">
        <v>4.1856999999999998</v>
      </c>
      <c r="AS99" s="20">
        <v>1.6312</v>
      </c>
      <c r="AT99" s="20">
        <v>1.7093</v>
      </c>
      <c r="AU99" s="20">
        <v>1.8002</v>
      </c>
      <c r="AV99" s="20">
        <v>1.851</v>
      </c>
      <c r="AW99" s="6"/>
      <c r="AX99" s="18">
        <v>0.8306</v>
      </c>
      <c r="AY99" s="18">
        <v>1.244E-9</v>
      </c>
      <c r="AZ99" s="18">
        <v>1.3690000000000001E-2</v>
      </c>
      <c r="BA99" s="18">
        <v>2.5110000000000002E-6</v>
      </c>
      <c r="BB99" s="18">
        <v>4.8829999999999998E-2</v>
      </c>
      <c r="BC99" s="18">
        <v>5.1320000000000003E-3</v>
      </c>
      <c r="BD99" s="18">
        <v>1.7999999999999999E-2</v>
      </c>
      <c r="BE99" s="18">
        <v>1.6329999999999999E-3</v>
      </c>
      <c r="BF99" s="13"/>
      <c r="BG99" t="s">
        <v>1125</v>
      </c>
      <c r="BH99" t="s">
        <v>1126</v>
      </c>
      <c r="BI99" t="s">
        <v>1113</v>
      </c>
      <c r="BJ99" t="s">
        <v>1127</v>
      </c>
      <c r="BK99" t="s">
        <v>1115</v>
      </c>
      <c r="BL99" t="s">
        <v>1116</v>
      </c>
      <c r="BM99" t="s">
        <v>1117</v>
      </c>
      <c r="BN99" s="13"/>
      <c r="BO99" t="s">
        <v>973</v>
      </c>
      <c r="BP99">
        <v>1</v>
      </c>
      <c r="BQ99" t="s">
        <v>973</v>
      </c>
      <c r="BR99" t="s">
        <v>973</v>
      </c>
    </row>
    <row r="100" spans="1:70" x14ac:dyDescent="0.25">
      <c r="A100" t="s">
        <v>153</v>
      </c>
      <c r="B100" t="s">
        <v>154</v>
      </c>
      <c r="C100" t="s">
        <v>22</v>
      </c>
      <c r="D100" s="6"/>
      <c r="E100" s="9" t="str">
        <f>HYPERLINK("http://plants.ensembl.org/Triticum_aestivum/Gene/Summary?g=TRIAE_CS42_2AL_TGACv1_095131_AA0307260","TRIAE_CS42_2AL_TGACv1_095131_AA0307260")</f>
        <v>TRIAE_CS42_2AL_TGACv1_095131_AA0307260</v>
      </c>
      <c r="F100" s="9" t="str">
        <f>HYPERLINK("http://mar2016-plants.ensembl.org/Triticum_aestivum/Gene/Summary?db=core;g=Traes_2AL_89543BA1A","Traes_2AL_89543BA1A")</f>
        <v>Traes_2AL_89543BA1A</v>
      </c>
      <c r="H100" s="8" t="str">
        <f>HYPERLINK("http://plants.ensembl.org/Brachypodium_distachyon/Gene/Summary?g=Bradi5g10950","Bradi5g10950")</f>
        <v>Bradi5g10950</v>
      </c>
      <c r="I100" s="8" t="str">
        <f>HYPERLINK("http://plants.ensembl.org/Arabidopsis_thaliana/Gene/Summary?g=AT1G59750","AT1G59750")</f>
        <v>AT1G59750</v>
      </c>
      <c r="J100" s="9" t="str">
        <f>HYPERLINK("http://plants.ensembl.org/Oryza_sativa/Gene/Summary?db=otherfeatures;g=LOC_Os04g36054","LOC_Os04g36054")</f>
        <v>LOC_Os04g36054</v>
      </c>
      <c r="L100" s="6"/>
      <c r="M100" s="1" t="s">
        <v>973</v>
      </c>
      <c r="N100" s="1" t="s">
        <v>973</v>
      </c>
      <c r="O100" s="1" t="s">
        <v>973</v>
      </c>
      <c r="P100" s="1">
        <v>1</v>
      </c>
      <c r="Q100" s="1" t="s">
        <v>973</v>
      </c>
      <c r="R100" s="1" t="s">
        <v>973</v>
      </c>
      <c r="S100" s="1"/>
      <c r="T100" s="6"/>
      <c r="U100" s="11">
        <v>8.1946268582957824</v>
      </c>
      <c r="V100" s="11">
        <v>8.6045145590212595</v>
      </c>
      <c r="W100" s="11">
        <v>7.9325352496348644</v>
      </c>
      <c r="X100" s="11">
        <v>7.7930702399754272</v>
      </c>
      <c r="Y100" s="11">
        <v>8.041041060313777</v>
      </c>
      <c r="Z100" s="11">
        <v>7.4553006404929576</v>
      </c>
      <c r="AA100" s="11">
        <v>8.1273755097660825</v>
      </c>
      <c r="AB100" s="11">
        <v>7.6803060698369991</v>
      </c>
      <c r="AC100" s="11">
        <v>8.9786503098134585</v>
      </c>
      <c r="AD100" s="11">
        <v>8.1594504052505599</v>
      </c>
      <c r="AE100" s="11">
        <v>8.0242413596765534</v>
      </c>
      <c r="AF100" s="11">
        <v>7.8682964023405848</v>
      </c>
      <c r="AG100" s="11">
        <v>8.4143293623725945</v>
      </c>
      <c r="AH100" s="11">
        <v>7.7014776689407061</v>
      </c>
      <c r="AI100" s="11">
        <v>8.4927964172854455</v>
      </c>
      <c r="AJ100" s="11">
        <v>8.0894317659051076</v>
      </c>
      <c r="AK100" s="6"/>
      <c r="AL100" t="s">
        <v>1101</v>
      </c>
      <c r="AM100">
        <v>0</v>
      </c>
      <c r="AN100" s="6"/>
      <c r="AO100" s="20">
        <v>-0.77769999999999995</v>
      </c>
      <c r="AP100" s="20">
        <v>0.52400000000000002</v>
      </c>
      <c r="AQ100" s="20">
        <v>-9.5600000000000004E-2</v>
      </c>
      <c r="AR100" s="20">
        <v>-7.0999999999999994E-2</v>
      </c>
      <c r="AS100" s="20">
        <v>-0.37290000000000001</v>
      </c>
      <c r="AT100" s="20">
        <v>-0.25169999999999998</v>
      </c>
      <c r="AU100" s="20">
        <v>-0.36630000000000001</v>
      </c>
      <c r="AV100" s="20">
        <v>-0.41060000000000002</v>
      </c>
      <c r="AW100" s="6"/>
      <c r="AX100" s="18">
        <v>1.66E-4</v>
      </c>
      <c r="AY100" s="18">
        <v>1.8689999999999998E-2</v>
      </c>
      <c r="AZ100" s="18">
        <v>0.63460000000000005</v>
      </c>
      <c r="BA100" s="18">
        <v>0.72740000000000005</v>
      </c>
      <c r="BB100" s="18">
        <v>6.1190000000000001E-2</v>
      </c>
      <c r="BC100" s="18">
        <v>0.2208</v>
      </c>
      <c r="BD100" s="18">
        <v>6.4579999999999999E-2</v>
      </c>
      <c r="BE100" s="18">
        <v>4.3450000000000003E-2</v>
      </c>
      <c r="BF100" s="13"/>
      <c r="BG100" t="s">
        <v>1111</v>
      </c>
      <c r="BH100" t="s">
        <v>1269</v>
      </c>
      <c r="BI100" t="s">
        <v>1113</v>
      </c>
      <c r="BJ100" t="s">
        <v>1114</v>
      </c>
      <c r="BK100" t="s">
        <v>1115</v>
      </c>
      <c r="BL100" t="s">
        <v>1116</v>
      </c>
      <c r="BM100" t="s">
        <v>1117</v>
      </c>
      <c r="BN100" s="13"/>
      <c r="BO100" t="s">
        <v>973</v>
      </c>
      <c r="BP100" t="s">
        <v>973</v>
      </c>
      <c r="BQ100" t="s">
        <v>973</v>
      </c>
      <c r="BR100" t="s">
        <v>973</v>
      </c>
    </row>
    <row r="101" spans="1:70" x14ac:dyDescent="0.25">
      <c r="A101" t="s">
        <v>187</v>
      </c>
      <c r="B101" t="s">
        <v>188</v>
      </c>
      <c r="C101" t="s">
        <v>22</v>
      </c>
      <c r="D101" s="6"/>
      <c r="E101" s="9" t="str">
        <f>HYPERLINK("http://plants.ensembl.org/Triticum_aestivum/Gene/Summary?g=TRIAE_CS42_2AL_TGACv1_093753_AA0286040","TRIAE_CS42_2AL_TGACv1_093753_AA0286040")</f>
        <v>TRIAE_CS42_2AL_TGACv1_093753_AA0286040</v>
      </c>
      <c r="F101" s="9" t="str">
        <f>HYPERLINK("http://mar2016-plants.ensembl.org/Triticum_aestivum/Gene/Summary?db=core;g=Traes_2AL_A7941CB12","Traes_2AL_A7941CB12")</f>
        <v>Traes_2AL_A7941CB12</v>
      </c>
      <c r="G101" t="s">
        <v>987</v>
      </c>
      <c r="H101" s="8" t="str">
        <f>HYPERLINK("http://plants.ensembl.org/Brachypodium_distachyon/Gene/Summary?g=Bradi5g25767","Bradi5g25767")</f>
        <v>Bradi5g25767</v>
      </c>
      <c r="I101" s="1" t="s">
        <v>1051</v>
      </c>
      <c r="J101" s="9" t="str">
        <f>HYPERLINK("http://plants.ensembl.org/Oryza_sativa/Gene/Summary?db=otherfeatures;g=LOC_Os04g57610","LOC_Os04g57610")</f>
        <v>LOC_Os04g57610</v>
      </c>
      <c r="K101" s="9" t="str">
        <f>HYPERLINK("http://plants.ensembl.org/Zea_mays/Gene/Summary?db=otherfeatures;g=GRMZM2G475882","GRMZM2G475882")</f>
        <v>GRMZM2G475882</v>
      </c>
      <c r="L101" s="6"/>
      <c r="M101" t="s">
        <v>973</v>
      </c>
      <c r="N101" t="s">
        <v>973</v>
      </c>
      <c r="O101" t="s">
        <v>973</v>
      </c>
      <c r="P101">
        <v>1</v>
      </c>
      <c r="S101" t="s">
        <v>973</v>
      </c>
      <c r="T101" s="6"/>
      <c r="U101" s="11">
        <v>7.1716091659922867</v>
      </c>
      <c r="V101" s="11">
        <v>2.9749942283331361</v>
      </c>
      <c r="W101" s="11">
        <v>8.5701361472729065</v>
      </c>
      <c r="X101" s="11">
        <v>6.7630184449432074</v>
      </c>
      <c r="Y101" s="11">
        <v>8.220468135588666</v>
      </c>
      <c r="Z101" s="11">
        <v>7.0743041917165472</v>
      </c>
      <c r="AA101" s="11">
        <v>8.0768765095555253</v>
      </c>
      <c r="AB101" s="11">
        <v>6.9515198016707949</v>
      </c>
      <c r="AC101" s="11">
        <v>8.7387213447080754</v>
      </c>
      <c r="AD101" s="11">
        <v>6.5054416050388086</v>
      </c>
      <c r="AE101" s="11">
        <v>9.3550242687907499</v>
      </c>
      <c r="AF101" s="11">
        <v>8.443140816503389</v>
      </c>
      <c r="AG101" s="11">
        <v>9.4349605095842151</v>
      </c>
      <c r="AH101" s="11">
        <v>8.028068866356481</v>
      </c>
      <c r="AI101" s="11">
        <v>9.1985145347056996</v>
      </c>
      <c r="AJ101" s="11">
        <v>8.1235732594134813</v>
      </c>
      <c r="AK101" s="6"/>
      <c r="AL101" t="s">
        <v>1075</v>
      </c>
      <c r="AM101">
        <v>0</v>
      </c>
      <c r="AN101" s="6"/>
      <c r="AO101" s="20">
        <v>-1.6788000000000001</v>
      </c>
      <c r="AP101" s="20">
        <v>-3.8149000000000002</v>
      </c>
      <c r="AQ101" s="20">
        <v>-0.78359999999999996</v>
      </c>
      <c r="AR101" s="20">
        <v>-1.6795</v>
      </c>
      <c r="AS101" s="20">
        <v>-1.2132000000000001</v>
      </c>
      <c r="AT101" s="20">
        <v>-0.95679999999999998</v>
      </c>
      <c r="AU101" s="20">
        <v>-1.1212</v>
      </c>
      <c r="AV101" s="20">
        <v>-1.175</v>
      </c>
      <c r="AW101" s="6"/>
      <c r="AX101" s="18">
        <v>2.5399999999999999E-9</v>
      </c>
      <c r="AY101" s="18">
        <v>3.9549999999999997E-9</v>
      </c>
      <c r="AZ101" s="18">
        <v>2.826E-3</v>
      </c>
      <c r="BA101" s="18">
        <v>6.4849999999999998E-10</v>
      </c>
      <c r="BB101" s="18">
        <v>4.0579999999999999E-6</v>
      </c>
      <c r="BC101" s="18">
        <v>3.993E-4</v>
      </c>
      <c r="BD101" s="18">
        <v>2.033E-5</v>
      </c>
      <c r="BE101" s="18">
        <v>1.5310000000000001E-5</v>
      </c>
      <c r="BF101" s="13"/>
      <c r="BG101" t="s">
        <v>1382</v>
      </c>
      <c r="BH101" t="s">
        <v>1177</v>
      </c>
      <c r="BI101" t="s">
        <v>1303</v>
      </c>
      <c r="BJ101" t="s">
        <v>1239</v>
      </c>
      <c r="BK101" t="s">
        <v>1247</v>
      </c>
      <c r="BL101" t="s">
        <v>1116</v>
      </c>
      <c r="BM101" t="s">
        <v>1117</v>
      </c>
      <c r="BN101" s="13"/>
      <c r="BO101" t="s">
        <v>973</v>
      </c>
      <c r="BP101" t="s">
        <v>973</v>
      </c>
      <c r="BQ101" t="s">
        <v>973</v>
      </c>
      <c r="BR101" t="s">
        <v>973</v>
      </c>
    </row>
    <row r="102" spans="1:70" x14ac:dyDescent="0.25">
      <c r="A102" t="s">
        <v>215</v>
      </c>
      <c r="B102" t="s">
        <v>216</v>
      </c>
      <c r="C102" t="s">
        <v>22</v>
      </c>
      <c r="D102" s="6"/>
      <c r="E102" s="9" t="str">
        <f>HYPERLINK("http://plants.ensembl.org/Triticum_aestivum/Gene/Summary?g=TRIAE_CS42_2BL_TGACv1_129350_AA0379740","TRIAE_CS42_2BL_TGACv1_129350_AA0379740")</f>
        <v>TRIAE_CS42_2BL_TGACv1_129350_AA0379740</v>
      </c>
      <c r="F102" s="9" t="str">
        <f>HYPERLINK("http://mar2016-plants.ensembl.org/Triticum_aestivum/Gene/Summary?db=core;g=Traes_2BL_1AED96909","Traes_2BL_1AED96909")</f>
        <v>Traes_2BL_1AED96909</v>
      </c>
      <c r="H102" s="8" t="str">
        <f>HYPERLINK("http://plants.ensembl.org/Brachypodium_distachyon/Gene/Summary?g=Bradi5g10950","Bradi5g10950")</f>
        <v>Bradi5g10950</v>
      </c>
      <c r="I102" s="8" t="str">
        <f>HYPERLINK("http://plants.ensembl.org/Arabidopsis_thaliana/Gene/Summary?g=AT1G59750","AT1G59750")</f>
        <v>AT1G59750</v>
      </c>
      <c r="J102" s="9" t="str">
        <f>HYPERLINK("http://plants.ensembl.org/Oryza_sativa/Gene/Summary?db=otherfeatures;g=LOC_Os04g36054","LOC_Os04g36054")</f>
        <v>LOC_Os04g36054</v>
      </c>
      <c r="L102" s="6"/>
      <c r="M102" s="1" t="s">
        <v>973</v>
      </c>
      <c r="N102" s="1" t="s">
        <v>973</v>
      </c>
      <c r="O102" s="1" t="s">
        <v>973</v>
      </c>
      <c r="P102" s="1">
        <v>1</v>
      </c>
      <c r="Q102" s="1" t="s">
        <v>973</v>
      </c>
      <c r="R102" s="1" t="s">
        <v>973</v>
      </c>
      <c r="S102" s="1"/>
      <c r="T102" s="6"/>
      <c r="U102" s="11">
        <v>9.0206900748060121</v>
      </c>
      <c r="V102" s="11">
        <v>9.105111533304564</v>
      </c>
      <c r="W102" s="11">
        <v>8.5097371388573038</v>
      </c>
      <c r="X102" s="11">
        <v>8.5412009245622862</v>
      </c>
      <c r="Y102" s="11">
        <v>8.7651572271311569</v>
      </c>
      <c r="Z102" s="11">
        <v>8.2986700752894258</v>
      </c>
      <c r="AA102" s="11">
        <v>8.7315355887558646</v>
      </c>
      <c r="AB102" s="11">
        <v>8.4737461959176379</v>
      </c>
      <c r="AC102" s="11">
        <v>9.3920620660587346</v>
      </c>
      <c r="AD102" s="11">
        <v>8.3030675944886312</v>
      </c>
      <c r="AE102" s="11">
        <v>8.5545585394155186</v>
      </c>
      <c r="AF102" s="11">
        <v>8.3346143065997396</v>
      </c>
      <c r="AG102" s="11">
        <v>8.8981158225708104</v>
      </c>
      <c r="AH102" s="11">
        <v>8.1147485764937493</v>
      </c>
      <c r="AI102" s="11">
        <v>9.0725522849549538</v>
      </c>
      <c r="AJ102" s="11">
        <v>8.7779984747687152</v>
      </c>
      <c r="AK102" s="6"/>
      <c r="AL102" t="s">
        <v>1101</v>
      </c>
      <c r="AM102">
        <v>0</v>
      </c>
      <c r="AN102" s="6"/>
      <c r="AO102" s="20">
        <v>-0.38379999999999997</v>
      </c>
      <c r="AP102" s="20">
        <v>0.75109999999999999</v>
      </c>
      <c r="AQ102" s="20">
        <v>-4.6399999999999997E-2</v>
      </c>
      <c r="AR102" s="20">
        <v>0.2102</v>
      </c>
      <c r="AS102" s="20">
        <v>-0.13339999999999999</v>
      </c>
      <c r="AT102" s="20">
        <v>0.18049999999999999</v>
      </c>
      <c r="AU102" s="20">
        <v>-0.34289999999999998</v>
      </c>
      <c r="AV102" s="20">
        <v>-0.30499999999999999</v>
      </c>
      <c r="AW102" s="6"/>
      <c r="AX102" s="18">
        <v>4.7690000000000003E-2</v>
      </c>
      <c r="AY102" s="18">
        <v>3.6959999999999998E-4</v>
      </c>
      <c r="AZ102" s="18">
        <v>0.80800000000000005</v>
      </c>
      <c r="BA102" s="18">
        <v>0.27510000000000001</v>
      </c>
      <c r="BB102" s="18">
        <v>0.48070000000000002</v>
      </c>
      <c r="BC102" s="18">
        <v>0.35160000000000002</v>
      </c>
      <c r="BD102" s="18">
        <v>6.9199999999999998E-2</v>
      </c>
      <c r="BE102" s="18">
        <v>0.1109</v>
      </c>
      <c r="BF102" s="13"/>
      <c r="BG102" t="s">
        <v>1111</v>
      </c>
      <c r="BH102" t="s">
        <v>1112</v>
      </c>
      <c r="BI102" t="s">
        <v>1113</v>
      </c>
      <c r="BJ102" t="s">
        <v>1114</v>
      </c>
      <c r="BK102" t="s">
        <v>1182</v>
      </c>
      <c r="BL102" t="s">
        <v>1116</v>
      </c>
      <c r="BM102" t="s">
        <v>1117</v>
      </c>
      <c r="BN102" s="13"/>
      <c r="BO102" t="s">
        <v>973</v>
      </c>
      <c r="BP102" t="s">
        <v>973</v>
      </c>
      <c r="BQ102" t="s">
        <v>973</v>
      </c>
      <c r="BR102" t="s">
        <v>973</v>
      </c>
    </row>
    <row r="103" spans="1:70" x14ac:dyDescent="0.25">
      <c r="A103" t="s">
        <v>242</v>
      </c>
      <c r="B103" t="s">
        <v>243</v>
      </c>
      <c r="C103" t="s">
        <v>22</v>
      </c>
      <c r="D103" s="6"/>
      <c r="E103" s="9" t="str">
        <f>HYPERLINK("http://plants.ensembl.org/Triticum_aestivum/Gene/Summary?g=TRIAE_CS42_2BL_TGACv1_129445_AA0383990","TRIAE_CS42_2BL_TGACv1_129445_AA0383990")</f>
        <v>TRIAE_CS42_2BL_TGACv1_129445_AA0383990</v>
      </c>
      <c r="F103" s="9" t="str">
        <f>HYPERLINK("http://mar2016-plants.ensembl.org/Triticum_aestivum/Gene/Summary?db=core;g=Traes_2BL_6C8D4FFBA","Traes_2BL_6C8D4FFBA")</f>
        <v>Traes_2BL_6C8D4FFBA</v>
      </c>
      <c r="G103" t="s">
        <v>987</v>
      </c>
      <c r="H103" s="8" t="str">
        <f>HYPERLINK("http://plants.ensembl.org/Brachypodium_distachyon/Gene/Summary?g=Bradi5g25767","Bradi5g25767")</f>
        <v>Bradi5g25767</v>
      </c>
      <c r="I103" s="1" t="s">
        <v>1051</v>
      </c>
      <c r="J103" s="9" t="str">
        <f>HYPERLINK("http://plants.ensembl.org/Oryza_sativa/Gene/Summary?db=otherfeatures;g=LOC_Os04g57610","LOC_Os04g57610")</f>
        <v>LOC_Os04g57610</v>
      </c>
      <c r="K103" s="9" t="str">
        <f>HYPERLINK("http://plants.ensembl.org/Zea_mays/Gene/Summary?db=otherfeatures;g=GRMZM2G475882","GRMZM2G475882")</f>
        <v>GRMZM2G475882</v>
      </c>
      <c r="L103" s="6"/>
      <c r="M103" t="s">
        <v>973</v>
      </c>
      <c r="N103" t="s">
        <v>973</v>
      </c>
      <c r="O103" t="s">
        <v>973</v>
      </c>
      <c r="P103">
        <v>1</v>
      </c>
      <c r="S103" t="s">
        <v>973</v>
      </c>
      <c r="T103" s="6"/>
      <c r="U103" s="11">
        <v>5.6339833046589263</v>
      </c>
      <c r="V103" s="11">
        <v>0</v>
      </c>
      <c r="W103" s="11">
        <v>7.169997134391048</v>
      </c>
      <c r="X103" s="11">
        <v>5.5232064656586424</v>
      </c>
      <c r="Y103" s="11">
        <v>6.5853306415437451</v>
      </c>
      <c r="Z103" s="11">
        <v>5.2181831492960855</v>
      </c>
      <c r="AA103" s="11">
        <v>7.0965282288300751</v>
      </c>
      <c r="AB103" s="11">
        <v>5.7665094737701263</v>
      </c>
      <c r="AC103" s="11">
        <v>7.9870015077150462</v>
      </c>
      <c r="AD103" s="11">
        <v>6.1039109180876849</v>
      </c>
      <c r="AE103" s="11">
        <v>7.9747413342233298</v>
      </c>
      <c r="AF103" s="11">
        <v>6.9700241883203677</v>
      </c>
      <c r="AG103" s="11">
        <v>7.8445526219328992</v>
      </c>
      <c r="AH103" s="11">
        <v>6.3933830204838387</v>
      </c>
      <c r="AI103" s="11">
        <v>8.0082618387512667</v>
      </c>
      <c r="AJ103" s="11">
        <v>7.042360162113499</v>
      </c>
      <c r="AK103" s="6"/>
      <c r="AL103" t="s">
        <v>1075</v>
      </c>
      <c r="AM103">
        <v>0</v>
      </c>
      <c r="AN103" s="6"/>
      <c r="AO103" s="20">
        <v>-2.2755000000000001</v>
      </c>
      <c r="AP103" s="20">
        <v>-5.7069999999999999</v>
      </c>
      <c r="AQ103" s="20">
        <v>-0.80689999999999995</v>
      </c>
      <c r="AR103" s="20">
        <v>-1.4574</v>
      </c>
      <c r="AS103" s="20">
        <v>-1.2665999999999999</v>
      </c>
      <c r="AT103" s="20">
        <v>-1.1990000000000001</v>
      </c>
      <c r="AU103" s="20">
        <v>-0.91879999999999995</v>
      </c>
      <c r="AV103" s="20">
        <v>-1.2877000000000001</v>
      </c>
      <c r="AW103" s="6"/>
      <c r="AX103" s="18">
        <v>1.2860000000000001E-16</v>
      </c>
      <c r="AY103" s="18">
        <v>5.8910000000000003E-8</v>
      </c>
      <c r="AZ103" s="18">
        <v>4.7340000000000001E-4</v>
      </c>
      <c r="BA103" s="18">
        <v>1.2310000000000001E-8</v>
      </c>
      <c r="BB103" s="18">
        <v>7.9630000000000006E-8</v>
      </c>
      <c r="BC103" s="18">
        <v>5.3900000000000001E-6</v>
      </c>
      <c r="BD103" s="18">
        <v>6.4449999999999994E-5</v>
      </c>
      <c r="BE103" s="18">
        <v>3.347E-7</v>
      </c>
      <c r="BF103" s="13"/>
      <c r="BG103" t="s">
        <v>1393</v>
      </c>
      <c r="BH103" t="s">
        <v>1287</v>
      </c>
      <c r="BI103" t="s">
        <v>1113</v>
      </c>
      <c r="BJ103" t="s">
        <v>1238</v>
      </c>
      <c r="BK103" t="s">
        <v>1286</v>
      </c>
      <c r="BL103" t="s">
        <v>1116</v>
      </c>
      <c r="BM103" t="s">
        <v>1117</v>
      </c>
      <c r="BN103" s="13"/>
      <c r="BO103" t="s">
        <v>973</v>
      </c>
      <c r="BP103" t="s">
        <v>973</v>
      </c>
      <c r="BQ103" t="s">
        <v>973</v>
      </c>
      <c r="BR103" t="s">
        <v>973</v>
      </c>
    </row>
    <row r="104" spans="1:70" x14ac:dyDescent="0.25">
      <c r="A104" t="s">
        <v>261</v>
      </c>
      <c r="B104" t="s">
        <v>147</v>
      </c>
      <c r="C104" t="s">
        <v>22</v>
      </c>
      <c r="D104" s="6"/>
      <c r="E104" s="9" t="str">
        <f>HYPERLINK("http://plants.ensembl.org/Triticum_aestivum/Gene/Summary?g=TRIAE_CS42_2DL_TGACv1_162098_AA0561790","TRIAE_CS42_2DL_TGACv1_162098_AA0561790")</f>
        <v>TRIAE_CS42_2DL_TGACv1_162098_AA0561790</v>
      </c>
      <c r="F104" s="9" t="str">
        <f>HYPERLINK("http://mar2016-plants.ensembl.org/Triticum_aestivum/Gene/Summary?db=core;g=Traes_2DL_0F9239600","Traes_2DL_0F9239600")</f>
        <v>Traes_2DL_0F9239600</v>
      </c>
      <c r="H104" s="8" t="str">
        <f>HYPERLINK("http://plants.ensembl.org/Brachypodium_distachyon/Gene/Summary?g=Bradi5g07910","Bradi5g07910")</f>
        <v>Bradi5g07910</v>
      </c>
      <c r="I104" s="8" t="str">
        <f>HYPERLINK("http://plants.ensembl.org/Arabidopsis_thaliana/Gene/Summary?g=AT1G27990","AT1G27990")</f>
        <v>AT1G27990</v>
      </c>
      <c r="J104" s="9" t="str">
        <f>HYPERLINK("http://plants.ensembl.org/Oryza_sativa/Gene/Summary?db=otherfeatures;g=LOC_Os04g31710","LOC_Os04g31710")</f>
        <v>LOC_Os04g31710</v>
      </c>
      <c r="L104" s="6"/>
      <c r="M104" s="1" t="s">
        <v>973</v>
      </c>
      <c r="N104" s="1" t="s">
        <v>973</v>
      </c>
      <c r="O104" s="1" t="s">
        <v>973</v>
      </c>
      <c r="P104" s="1">
        <v>1</v>
      </c>
      <c r="Q104" s="1" t="s">
        <v>973</v>
      </c>
      <c r="R104" s="1" t="s">
        <v>973</v>
      </c>
      <c r="S104" s="1"/>
      <c r="T104" s="6"/>
      <c r="U104" s="11">
        <v>4.5365502955359105</v>
      </c>
      <c r="V104" s="11">
        <v>7.5553220353216979</v>
      </c>
      <c r="W104" s="11">
        <v>3.3723345962798277</v>
      </c>
      <c r="X104" s="11">
        <v>5.3638310514224319</v>
      </c>
      <c r="Y104" s="11">
        <v>3.6526968128602348</v>
      </c>
      <c r="Z104" s="11">
        <v>4.9868204750793623</v>
      </c>
      <c r="AA104" s="11">
        <v>3.4332176443863491</v>
      </c>
      <c r="AB104" s="11">
        <v>4.860870123486472</v>
      </c>
      <c r="AC104" s="11">
        <v>1.6512545633810638</v>
      </c>
      <c r="AD104" s="11">
        <v>4.0893314764883817</v>
      </c>
      <c r="AE104" s="11">
        <v>2.1771098693447093</v>
      </c>
      <c r="AF104" s="11">
        <v>1.801255246502341</v>
      </c>
      <c r="AG104" s="11">
        <v>0.92265456608315155</v>
      </c>
      <c r="AH104" s="11">
        <v>3.0730775625353117</v>
      </c>
      <c r="AI104" s="11">
        <v>1.8294436813665911</v>
      </c>
      <c r="AJ104" s="11">
        <v>2.4094543001754349</v>
      </c>
      <c r="AK104" s="6"/>
      <c r="AL104" t="s">
        <v>1104</v>
      </c>
      <c r="AM104">
        <v>0</v>
      </c>
      <c r="AN104" s="6"/>
      <c r="AO104" s="20">
        <v>3.3940999999999999</v>
      </c>
      <c r="AP104" s="20">
        <v>3.9849999999999999</v>
      </c>
      <c r="AQ104" s="20">
        <v>1.3703000000000001</v>
      </c>
      <c r="AR104" s="20">
        <v>3.7642000000000002</v>
      </c>
      <c r="AS104" s="20">
        <v>3.3881000000000001</v>
      </c>
      <c r="AT104" s="20">
        <v>2.0324</v>
      </c>
      <c r="AU104" s="20">
        <v>1.8608</v>
      </c>
      <c r="AV104" s="20">
        <v>2.6255000000000002</v>
      </c>
      <c r="AW104" s="6"/>
      <c r="AX104" s="18">
        <v>4.282E-5</v>
      </c>
      <c r="AY104" s="18">
        <v>2.7899999999999998E-8</v>
      </c>
      <c r="AZ104" s="18">
        <v>6.9330000000000003E-2</v>
      </c>
      <c r="BA104" s="18">
        <v>7.7029999999999996E-7</v>
      </c>
      <c r="BB104" s="18">
        <v>6.5649999999999997E-5</v>
      </c>
      <c r="BC104" s="18">
        <v>3.1540000000000001E-3</v>
      </c>
      <c r="BD104" s="18">
        <v>1.627E-2</v>
      </c>
      <c r="BE104" s="18">
        <v>2.4120000000000001E-4</v>
      </c>
      <c r="BF104" s="13"/>
      <c r="BG104" t="s">
        <v>1125</v>
      </c>
      <c r="BH104" t="s">
        <v>1126</v>
      </c>
      <c r="BI104" t="s">
        <v>1113</v>
      </c>
      <c r="BJ104" t="s">
        <v>1127</v>
      </c>
      <c r="BK104" t="s">
        <v>1115</v>
      </c>
      <c r="BL104" t="s">
        <v>1116</v>
      </c>
      <c r="BM104" t="s">
        <v>1117</v>
      </c>
      <c r="BN104" s="13"/>
      <c r="BO104" t="s">
        <v>973</v>
      </c>
      <c r="BP104">
        <v>1</v>
      </c>
      <c r="BQ104" t="s">
        <v>973</v>
      </c>
      <c r="BR104" t="s">
        <v>973</v>
      </c>
    </row>
    <row r="105" spans="1:70" x14ac:dyDescent="0.25">
      <c r="A105" t="s">
        <v>271</v>
      </c>
      <c r="B105" t="s">
        <v>272</v>
      </c>
      <c r="C105" t="s">
        <v>22</v>
      </c>
      <c r="D105" s="6"/>
      <c r="E105" s="9" t="str">
        <f>HYPERLINK("http://plants.ensembl.org/Triticum_aestivum/Gene/Summary?g=TRIAE_CS42_2DL_TGACv1_160096_AA0546620","TRIAE_CS42_2DL_TGACv1_160096_AA0546620")</f>
        <v>TRIAE_CS42_2DL_TGACv1_160096_AA0546620</v>
      </c>
      <c r="H105" s="8" t="str">
        <f>HYPERLINK("http://plants.ensembl.org/Brachypodium_distachyon/Gene/Summary?g=Bradi5g15904","Bradi5g15904")</f>
        <v>Bradi5g15904</v>
      </c>
      <c r="I105" s="1" t="s">
        <v>1051</v>
      </c>
      <c r="J105" s="9" t="str">
        <f>HYPERLINK("http://plants.ensembl.org/Oryza_sativa/Gene/Summary?db=otherfeatures;g=LOC_Os02g41800","LOC_Os02g41800")</f>
        <v>LOC_Os02g41800</v>
      </c>
      <c r="L105" s="6"/>
      <c r="M105" s="1" t="s">
        <v>973</v>
      </c>
      <c r="N105" s="1" t="s">
        <v>973</v>
      </c>
      <c r="O105" s="1" t="s">
        <v>973</v>
      </c>
      <c r="P105" s="1">
        <v>1</v>
      </c>
      <c r="Q105" s="1" t="s">
        <v>973</v>
      </c>
      <c r="R105" s="1" t="s">
        <v>973</v>
      </c>
      <c r="S105" s="1"/>
      <c r="T105" s="6"/>
      <c r="U105" s="11">
        <v>5.4386820871661543</v>
      </c>
      <c r="V105" s="11">
        <v>5.952675249536493</v>
      </c>
      <c r="W105" s="11">
        <v>6.1877855589632977</v>
      </c>
      <c r="X105" s="11">
        <v>6.2858972126183188</v>
      </c>
      <c r="Y105" s="11">
        <v>5.2504891853270674</v>
      </c>
      <c r="Z105" s="11">
        <v>5.3545779277879832</v>
      </c>
      <c r="AA105" s="11">
        <v>6.7247671267537195</v>
      </c>
      <c r="AB105" s="11">
        <v>5.856905205929853</v>
      </c>
      <c r="AC105" s="11">
        <v>5.5805977635558444</v>
      </c>
      <c r="AD105" s="11">
        <v>6.2142368637890657</v>
      </c>
      <c r="AE105" s="11">
        <v>6.5902841332429221</v>
      </c>
      <c r="AF105" s="11">
        <v>6.1205316577390425</v>
      </c>
      <c r="AG105" s="11">
        <v>6.0690046496140351</v>
      </c>
      <c r="AH105" s="11">
        <v>5.3547166116243785</v>
      </c>
      <c r="AI105" s="11">
        <v>5.5586339765599684</v>
      </c>
      <c r="AJ105" s="11">
        <v>4.9278490582380599</v>
      </c>
      <c r="AK105" s="6"/>
      <c r="AL105" t="s">
        <v>1095</v>
      </c>
      <c r="AM105">
        <v>0</v>
      </c>
      <c r="AN105" s="6"/>
      <c r="AO105" s="20">
        <v>-5.4600000000000003E-2</v>
      </c>
      <c r="AP105" s="20">
        <v>-0.24010000000000001</v>
      </c>
      <c r="AQ105" s="20">
        <v>-0.40350000000000003</v>
      </c>
      <c r="AR105" s="20">
        <v>0.1588</v>
      </c>
      <c r="AS105" s="20">
        <v>-0.83160000000000001</v>
      </c>
      <c r="AT105" s="20">
        <v>1.32E-2</v>
      </c>
      <c r="AU105" s="20">
        <v>1.1737</v>
      </c>
      <c r="AV105" s="20">
        <v>0.93979999999999997</v>
      </c>
      <c r="AW105" s="6"/>
      <c r="AX105" s="18">
        <v>0.91110000000000002</v>
      </c>
      <c r="AY105" s="18">
        <v>0.64200000000000002</v>
      </c>
      <c r="AZ105" s="18">
        <v>0.37319999999999998</v>
      </c>
      <c r="BA105" s="18">
        <v>0.72829999999999995</v>
      </c>
      <c r="BB105" s="18">
        <v>7.2470000000000007E-2</v>
      </c>
      <c r="BC105" s="18">
        <v>0.97760000000000002</v>
      </c>
      <c r="BD105" s="18">
        <v>1.009E-2</v>
      </c>
      <c r="BE105" s="18">
        <v>4.5659999999999999E-2</v>
      </c>
      <c r="BF105" s="13"/>
      <c r="BG105" t="s">
        <v>1111</v>
      </c>
      <c r="BH105" t="s">
        <v>1216</v>
      </c>
      <c r="BI105" t="s">
        <v>1113</v>
      </c>
      <c r="BJ105" t="s">
        <v>1114</v>
      </c>
      <c r="BK105" t="s">
        <v>1115</v>
      </c>
      <c r="BL105" t="s">
        <v>1226</v>
      </c>
      <c r="BM105" t="s">
        <v>1117</v>
      </c>
      <c r="BN105" s="13"/>
      <c r="BO105" t="s">
        <v>973</v>
      </c>
      <c r="BP105" t="s">
        <v>973</v>
      </c>
      <c r="BQ105" t="s">
        <v>973</v>
      </c>
      <c r="BR105" t="s">
        <v>973</v>
      </c>
    </row>
    <row r="106" spans="1:70" x14ac:dyDescent="0.25">
      <c r="A106" t="s">
        <v>285</v>
      </c>
      <c r="B106" t="s">
        <v>243</v>
      </c>
      <c r="C106" t="s">
        <v>22</v>
      </c>
      <c r="D106" s="6"/>
      <c r="E106" s="9" t="str">
        <f>HYPERLINK("http://plants.ensembl.org/Triticum_aestivum/Gene/Summary?g=TRIAE_CS42_2DL_TGACv1_157916_AA0501640","TRIAE_CS42_2DL_TGACv1_157916_AA0501640")</f>
        <v>TRIAE_CS42_2DL_TGACv1_157916_AA0501640</v>
      </c>
      <c r="F106" s="9" t="str">
        <f>HYPERLINK("http://mar2016-plants.ensembl.org/Triticum_aestivum/Gene/Summary?db=core;g=Traes_2DL_8434C0251","Traes_2DL_8434C0251")</f>
        <v>Traes_2DL_8434C0251</v>
      </c>
      <c r="G106" t="s">
        <v>987</v>
      </c>
      <c r="H106" s="8" t="str">
        <f>HYPERLINK("http://plants.ensembl.org/Brachypodium_distachyon/Gene/Summary?g=Bradi5g25767","Bradi5g25767")</f>
        <v>Bradi5g25767</v>
      </c>
      <c r="I106" s="1" t="s">
        <v>1051</v>
      </c>
      <c r="J106" s="9" t="str">
        <f>HYPERLINK("http://plants.ensembl.org/Oryza_sativa/Gene/Summary?db=otherfeatures;g=LOC_Os04g57610","LOC_Os04g57610")</f>
        <v>LOC_Os04g57610</v>
      </c>
      <c r="K106" s="9" t="str">
        <f>HYPERLINK("http://plants.ensembl.org/Zea_mays/Gene/Summary?db=otherfeatures;g=GRMZM2G475882","GRMZM2G475882")</f>
        <v>GRMZM2G475882</v>
      </c>
      <c r="L106" s="6"/>
      <c r="M106" t="s">
        <v>973</v>
      </c>
      <c r="N106" t="s">
        <v>973</v>
      </c>
      <c r="O106" t="s">
        <v>973</v>
      </c>
      <c r="P106">
        <v>1</v>
      </c>
      <c r="S106" t="s">
        <v>973</v>
      </c>
      <c r="T106" s="6"/>
      <c r="U106" s="11">
        <v>6.3954404518517736</v>
      </c>
      <c r="V106" s="11">
        <v>2.5474662812686648</v>
      </c>
      <c r="W106" s="11">
        <v>7.5117436945374809</v>
      </c>
      <c r="X106" s="11">
        <v>5.7320249302273574</v>
      </c>
      <c r="Y106" s="11">
        <v>6.9318055611851328</v>
      </c>
      <c r="Z106" s="11">
        <v>5.4567886300586403</v>
      </c>
      <c r="AA106" s="11">
        <v>6.6794664935368377</v>
      </c>
      <c r="AB106" s="11">
        <v>4.6966467371690905</v>
      </c>
      <c r="AC106" s="11">
        <v>8.2607754529295416</v>
      </c>
      <c r="AD106" s="11">
        <v>6.1074891084816576</v>
      </c>
      <c r="AE106" s="11">
        <v>8.0696488263651176</v>
      </c>
      <c r="AF106" s="11">
        <v>7.0774619933319158</v>
      </c>
      <c r="AG106" s="11">
        <v>8.4596716379872685</v>
      </c>
      <c r="AH106" s="11">
        <v>6.8058586384100401</v>
      </c>
      <c r="AI106" s="11">
        <v>7.3308236823813981</v>
      </c>
      <c r="AJ106" s="11">
        <v>6.0240654946989975</v>
      </c>
      <c r="AK106" s="6"/>
      <c r="AL106" t="s">
        <v>1075</v>
      </c>
      <c r="AM106">
        <v>0</v>
      </c>
      <c r="AN106" s="6"/>
      <c r="AO106" s="20">
        <v>-2.0110000000000001</v>
      </c>
      <c r="AP106" s="20">
        <v>-3.2984</v>
      </c>
      <c r="AQ106" s="20">
        <v>-0.55720000000000003</v>
      </c>
      <c r="AR106" s="20">
        <v>-1.3412999999999999</v>
      </c>
      <c r="AS106" s="20">
        <v>-1.5257000000000001</v>
      </c>
      <c r="AT106" s="20">
        <v>-1.3681000000000001</v>
      </c>
      <c r="AU106" s="20">
        <v>-0.65110000000000001</v>
      </c>
      <c r="AV106" s="20">
        <v>-1.3511</v>
      </c>
      <c r="AW106" s="6"/>
      <c r="AX106" s="18">
        <v>1.173E-7</v>
      </c>
      <c r="AY106" s="18">
        <v>9.1790000000000003E-7</v>
      </c>
      <c r="AZ106" s="18">
        <v>0.1183</v>
      </c>
      <c r="BA106" s="18">
        <v>3.0650000000000002E-4</v>
      </c>
      <c r="BB106" s="18">
        <v>2.0890000000000002E-5</v>
      </c>
      <c r="BC106" s="18">
        <v>2.5769999999999998E-4</v>
      </c>
      <c r="BD106" s="18">
        <v>7.0959999999999995E-2</v>
      </c>
      <c r="BE106" s="18">
        <v>6.2069999999999996E-4</v>
      </c>
      <c r="BF106" s="13"/>
      <c r="BG106" t="s">
        <v>1380</v>
      </c>
      <c r="BH106" t="s">
        <v>1229</v>
      </c>
      <c r="BI106" t="s">
        <v>1113</v>
      </c>
      <c r="BJ106" t="s">
        <v>1240</v>
      </c>
      <c r="BK106" t="s">
        <v>1247</v>
      </c>
      <c r="BL106" t="s">
        <v>1116</v>
      </c>
      <c r="BM106" t="s">
        <v>1321</v>
      </c>
      <c r="BN106" s="13"/>
      <c r="BO106" t="s">
        <v>973</v>
      </c>
      <c r="BP106" t="s">
        <v>973</v>
      </c>
      <c r="BQ106" t="s">
        <v>973</v>
      </c>
      <c r="BR106" t="s">
        <v>973</v>
      </c>
    </row>
    <row r="107" spans="1:70" x14ac:dyDescent="0.25">
      <c r="A107" t="s">
        <v>316</v>
      </c>
      <c r="B107" t="s">
        <v>317</v>
      </c>
      <c r="C107" t="s">
        <v>22</v>
      </c>
      <c r="D107" s="6"/>
      <c r="E107" s="9" t="str">
        <f>HYPERLINK("http://plants.ensembl.org/Triticum_aestivum/Gene/Summary?g=TRIAE_CS42_3AL_TGACv1_194675_AA0637570","TRIAE_CS42_3AL_TGACv1_194675_AA0637570")</f>
        <v>TRIAE_CS42_3AL_TGACv1_194675_AA0637570</v>
      </c>
      <c r="F107" s="9" t="str">
        <f>HYPERLINK("http://mar2016-plants.ensembl.org/Triticum_aestivum/Gene/Summary?db=core;g=Traes_3AL_A30A3C355","Traes_3AL_A30A3C355")</f>
        <v>Traes_3AL_A30A3C355</v>
      </c>
      <c r="G107" t="s">
        <v>976</v>
      </c>
      <c r="H107" s="8" t="str">
        <f>HYPERLINK("http://plants.ensembl.org/Brachypodium_distachyon/Gene/Summary?g=Bradi2g50120","Bradi2g50120")</f>
        <v>Bradi2g50120</v>
      </c>
      <c r="I107" s="1" t="s">
        <v>1051</v>
      </c>
      <c r="J107" s="9" t="str">
        <f>HYPERLINK("http://plants.ensembl.org/Oryza_sativa/Gene/Summary?db=otherfeatures;g=LOC_Os01g54990","LOC_Os01g54990")</f>
        <v>LOC_Os01g54990</v>
      </c>
      <c r="K107" s="9" t="str">
        <f>HYPERLINK("http://plants.ensembl.org/Zea_mays/Gene/Summary?db=otherfeatures;g=GRMZM2G056120","GRMZM2G056120")</f>
        <v>GRMZM2G056120</v>
      </c>
      <c r="L107" s="6"/>
      <c r="M107" t="s">
        <v>973</v>
      </c>
      <c r="N107" t="s">
        <v>973</v>
      </c>
      <c r="O107" t="s">
        <v>973</v>
      </c>
      <c r="P107">
        <v>1</v>
      </c>
      <c r="S107" t="s">
        <v>973</v>
      </c>
      <c r="T107" s="6"/>
      <c r="U107" s="11">
        <v>7.5779486585011444</v>
      </c>
      <c r="V107" s="11">
        <v>7.6507293815099864</v>
      </c>
      <c r="W107" s="11">
        <v>7.3546519725119444</v>
      </c>
      <c r="X107" s="11">
        <v>7.8121036978385563</v>
      </c>
      <c r="Y107" s="11">
        <v>7.5510514504043851</v>
      </c>
      <c r="Z107" s="11">
        <v>8.4794061385739923</v>
      </c>
      <c r="AA107" s="11">
        <v>7.7970110317533932</v>
      </c>
      <c r="AB107" s="11">
        <v>8.3384975104313934</v>
      </c>
      <c r="AC107" s="11">
        <v>8.1841081804749543</v>
      </c>
      <c r="AD107" s="11">
        <v>9.1523048725556215</v>
      </c>
      <c r="AE107" s="11">
        <v>8.0917543043655531</v>
      </c>
      <c r="AF107" s="11">
        <v>8.7173891119552689</v>
      </c>
      <c r="AG107" s="11">
        <v>8.0561926009987044</v>
      </c>
      <c r="AH107" s="11">
        <v>9.2652992050712957</v>
      </c>
      <c r="AI107" s="11">
        <v>8.1280986622599958</v>
      </c>
      <c r="AJ107" s="11">
        <v>9.1150468590380047</v>
      </c>
      <c r="AK107" s="6"/>
      <c r="AL107" t="s">
        <v>1089</v>
      </c>
      <c r="AM107">
        <v>0</v>
      </c>
      <c r="AN107" s="6"/>
      <c r="AO107" s="20">
        <v>-0.6794</v>
      </c>
      <c r="AP107" s="20">
        <v>-1.5632999999999999</v>
      </c>
      <c r="AQ107" s="20">
        <v>-0.7379</v>
      </c>
      <c r="AR107" s="20">
        <v>-0.9083</v>
      </c>
      <c r="AS107" s="20">
        <v>-0.505</v>
      </c>
      <c r="AT107" s="20">
        <v>-0.78480000000000005</v>
      </c>
      <c r="AU107" s="20">
        <v>-0.33179999999999998</v>
      </c>
      <c r="AV107" s="20">
        <v>-0.77610000000000001</v>
      </c>
      <c r="AW107" s="6"/>
      <c r="AX107" s="18">
        <v>3.026E-3</v>
      </c>
      <c r="AY107" s="18">
        <v>2.042E-10</v>
      </c>
      <c r="AZ107" s="18">
        <v>6.8990000000000002E-4</v>
      </c>
      <c r="BA107" s="18">
        <v>2.402E-5</v>
      </c>
      <c r="BB107" s="18">
        <v>1.966E-2</v>
      </c>
      <c r="BC107" s="18">
        <v>2.0350000000000001E-4</v>
      </c>
      <c r="BD107" s="18">
        <v>0.12189999999999999</v>
      </c>
      <c r="BE107" s="18">
        <v>2.5710000000000002E-4</v>
      </c>
      <c r="BF107" s="13"/>
      <c r="BG107" t="s">
        <v>1128</v>
      </c>
      <c r="BH107" t="s">
        <v>1112</v>
      </c>
      <c r="BI107" t="s">
        <v>1113</v>
      </c>
      <c r="BJ107" t="s">
        <v>1114</v>
      </c>
      <c r="BK107" t="s">
        <v>1248</v>
      </c>
      <c r="BL107" t="s">
        <v>1116</v>
      </c>
      <c r="BM107" t="s">
        <v>1117</v>
      </c>
      <c r="BN107" s="13"/>
      <c r="BO107" t="s">
        <v>973</v>
      </c>
      <c r="BP107" t="s">
        <v>973</v>
      </c>
      <c r="BQ107" t="s">
        <v>973</v>
      </c>
      <c r="BR107" t="s">
        <v>973</v>
      </c>
    </row>
    <row r="108" spans="1:70" x14ac:dyDescent="0.25">
      <c r="A108" t="s">
        <v>381</v>
      </c>
      <c r="B108" t="s">
        <v>382</v>
      </c>
      <c r="C108" t="s">
        <v>22</v>
      </c>
      <c r="D108" s="6"/>
      <c r="E108" s="9" t="str">
        <f>HYPERLINK("http://plants.ensembl.org/Triticum_aestivum/Gene/Summary?g=TRIAE_CS42_3B_TGACv1_221509_AA0742350","TRIAE_CS42_3B_TGACv1_221509_AA0742350")</f>
        <v>TRIAE_CS42_3B_TGACv1_221509_AA0742350</v>
      </c>
      <c r="H108" s="8" t="str">
        <f>HYPERLINK("http://plants.ensembl.org/Brachypodium_distachyon/Gene/Summary?g=Bradi2g50120","Bradi2g50120")</f>
        <v>Bradi2g50120</v>
      </c>
      <c r="I108" s="1" t="s">
        <v>1051</v>
      </c>
      <c r="J108" s="9" t="str">
        <f>HYPERLINK("http://plants.ensembl.org/Oryza_sativa/Gene/Summary?db=otherfeatures;g=LOC_Os01g54990","LOC_Os01g54990")</f>
        <v>LOC_Os01g54990</v>
      </c>
      <c r="L108" s="6"/>
      <c r="M108" s="1" t="s">
        <v>973</v>
      </c>
      <c r="N108" s="1" t="s">
        <v>973</v>
      </c>
      <c r="O108" s="1" t="s">
        <v>973</v>
      </c>
      <c r="P108" s="1">
        <v>1</v>
      </c>
      <c r="Q108" s="1" t="s">
        <v>973</v>
      </c>
      <c r="R108" s="1" t="s">
        <v>973</v>
      </c>
      <c r="S108" s="1"/>
      <c r="T108" s="6"/>
      <c r="U108" s="11">
        <v>6.2465366673493943</v>
      </c>
      <c r="V108" s="11">
        <v>6.1140060283756501</v>
      </c>
      <c r="W108" s="11">
        <v>6.0569064512994082</v>
      </c>
      <c r="X108" s="11">
        <v>6.1802460111671786</v>
      </c>
      <c r="Y108" s="11">
        <v>5.9254448551732297</v>
      </c>
      <c r="Z108" s="11">
        <v>6.196475247379345</v>
      </c>
      <c r="AA108" s="11">
        <v>6.2181566654240559</v>
      </c>
      <c r="AB108" s="11">
        <v>6.5671128947299922</v>
      </c>
      <c r="AC108" s="11">
        <v>6.9174281749049182</v>
      </c>
      <c r="AD108" s="11">
        <v>7.2898713434137532</v>
      </c>
      <c r="AE108" s="11">
        <v>6.8159997387580997</v>
      </c>
      <c r="AF108" s="11">
        <v>7.171113399425546</v>
      </c>
      <c r="AG108" s="11">
        <v>6.5145194464671796</v>
      </c>
      <c r="AH108" s="11">
        <v>6.7337673840084227</v>
      </c>
      <c r="AI108" s="11">
        <v>6.6771314047822408</v>
      </c>
      <c r="AJ108" s="11">
        <v>7.2590922958562594</v>
      </c>
      <c r="AK108" s="6"/>
      <c r="AL108" t="s">
        <v>1097</v>
      </c>
      <c r="AM108">
        <v>0</v>
      </c>
      <c r="AN108" s="6"/>
      <c r="AO108" s="20">
        <v>-0.72470000000000001</v>
      </c>
      <c r="AP108" s="20">
        <v>-1.0921000000000001</v>
      </c>
      <c r="AQ108" s="20">
        <v>-0.76429999999999998</v>
      </c>
      <c r="AR108" s="20">
        <v>-0.99819999999999998</v>
      </c>
      <c r="AS108" s="20">
        <v>-0.59350000000000003</v>
      </c>
      <c r="AT108" s="20">
        <v>-0.54169999999999996</v>
      </c>
      <c r="AU108" s="20">
        <v>-0.47389999999999999</v>
      </c>
      <c r="AV108" s="20">
        <v>-0.69589999999999996</v>
      </c>
      <c r="AW108" s="6"/>
      <c r="AX108" s="18">
        <v>1.949E-3</v>
      </c>
      <c r="AY108" s="18">
        <v>6.5140000000000003E-5</v>
      </c>
      <c r="AZ108" s="18">
        <v>2.6350000000000001E-4</v>
      </c>
      <c r="BA108" s="18">
        <v>1.846E-6</v>
      </c>
      <c r="BB108" s="18">
        <v>5.489E-3</v>
      </c>
      <c r="BC108" s="18">
        <v>1.005E-2</v>
      </c>
      <c r="BD108" s="18">
        <v>2.146E-2</v>
      </c>
      <c r="BE108" s="18">
        <v>6.4360000000000003E-4</v>
      </c>
      <c r="BF108" s="13"/>
      <c r="BG108" t="s">
        <v>1128</v>
      </c>
      <c r="BH108" t="s">
        <v>1112</v>
      </c>
      <c r="BI108" t="s">
        <v>1113</v>
      </c>
      <c r="BJ108" t="s">
        <v>1114</v>
      </c>
      <c r="BK108" t="s">
        <v>1115</v>
      </c>
      <c r="BL108" t="s">
        <v>1116</v>
      </c>
      <c r="BM108" t="s">
        <v>1117</v>
      </c>
      <c r="BN108" s="13"/>
      <c r="BO108" t="s">
        <v>973</v>
      </c>
      <c r="BP108" t="s">
        <v>973</v>
      </c>
      <c r="BQ108" t="s">
        <v>973</v>
      </c>
      <c r="BR108" t="s">
        <v>973</v>
      </c>
    </row>
    <row r="109" spans="1:70" x14ac:dyDescent="0.25">
      <c r="A109" t="s">
        <v>425</v>
      </c>
      <c r="B109" t="s">
        <v>426</v>
      </c>
      <c r="C109" t="s">
        <v>22</v>
      </c>
      <c r="D109" s="6"/>
      <c r="E109" s="9" t="str">
        <f>HYPERLINK("http://plants.ensembl.org/Triticum_aestivum/Gene/Summary?g=TRIAE_CS42_3DL_TGACv1_249301_AA0844620","TRIAE_CS42_3DL_TGACv1_249301_AA0844620")</f>
        <v>TRIAE_CS42_3DL_TGACv1_249301_AA0844620</v>
      </c>
      <c r="F109" s="9" t="str">
        <f>HYPERLINK("http://mar2016-plants.ensembl.org/Triticum_aestivum/Gene/Summary?db=core;g=Traes_3DL_734F1498E","Traes_3DL_734F1498E")</f>
        <v>Traes_3DL_734F1498E</v>
      </c>
      <c r="G109" t="s">
        <v>976</v>
      </c>
      <c r="H109" s="8" t="str">
        <f>HYPERLINK("http://plants.ensembl.org/Brachypodium_distachyon/Gene/Summary?g=Bradi2g50120","Bradi2g50120")</f>
        <v>Bradi2g50120</v>
      </c>
      <c r="I109" s="1" t="s">
        <v>1051</v>
      </c>
      <c r="J109" s="9" t="str">
        <f>HYPERLINK("http://plants.ensembl.org/Oryza_sativa/Gene/Summary?db=otherfeatures;g=LOC_Os01g54990","LOC_Os01g54990")</f>
        <v>LOC_Os01g54990</v>
      </c>
      <c r="K109" s="9" t="str">
        <f>HYPERLINK("http://plants.ensembl.org/Zea_mays/Gene/Summary?db=otherfeatures;g=GRMZM2G056120","GRMZM2G056120")</f>
        <v>GRMZM2G056120</v>
      </c>
      <c r="L109" s="6"/>
      <c r="M109" t="s">
        <v>973</v>
      </c>
      <c r="N109" t="s">
        <v>973</v>
      </c>
      <c r="O109" t="s">
        <v>973</v>
      </c>
      <c r="P109">
        <v>1</v>
      </c>
      <c r="S109" t="s">
        <v>973</v>
      </c>
      <c r="T109" s="6"/>
      <c r="U109" s="11">
        <v>6.3347458367395726</v>
      </c>
      <c r="V109" s="11">
        <v>7.1328616111186927</v>
      </c>
      <c r="W109" s="11">
        <v>6.8359632224857059</v>
      </c>
      <c r="X109" s="11">
        <v>7.1879151835152841</v>
      </c>
      <c r="Y109" s="11">
        <v>6.5556607543694065</v>
      </c>
      <c r="Z109" s="11">
        <v>7.3845535335644534</v>
      </c>
      <c r="AA109" s="11">
        <v>7.1393470414006659</v>
      </c>
      <c r="AB109" s="11">
        <v>7.4959229638351923</v>
      </c>
      <c r="AC109" s="11">
        <v>7.5671473820176791</v>
      </c>
      <c r="AD109" s="11">
        <v>8.1090711137090565</v>
      </c>
      <c r="AE109" s="11">
        <v>7.616236379170835</v>
      </c>
      <c r="AF109" s="11">
        <v>8.0662289671984055</v>
      </c>
      <c r="AG109" s="11">
        <v>7.2310060806905794</v>
      </c>
      <c r="AH109" s="11">
        <v>8.2524459369016476</v>
      </c>
      <c r="AI109" s="11">
        <v>7.3964432359570722</v>
      </c>
      <c r="AJ109" s="11">
        <v>7.9273252343770988</v>
      </c>
      <c r="AK109" s="6"/>
      <c r="AL109" t="s">
        <v>1089</v>
      </c>
      <c r="AM109">
        <v>0</v>
      </c>
      <c r="AN109" s="6"/>
      <c r="AO109" s="20">
        <v>-1.3717999999999999</v>
      </c>
      <c r="AP109" s="20">
        <v>-1.0511999999999999</v>
      </c>
      <c r="AQ109" s="20">
        <v>-0.78380000000000005</v>
      </c>
      <c r="AR109" s="20">
        <v>-0.8881</v>
      </c>
      <c r="AS109" s="20">
        <v>-0.67830000000000001</v>
      </c>
      <c r="AT109" s="20">
        <v>-0.86709999999999998</v>
      </c>
      <c r="AU109" s="20">
        <v>-0.25269999999999998</v>
      </c>
      <c r="AV109" s="20">
        <v>-0.43049999999999999</v>
      </c>
      <c r="AW109" s="6"/>
      <c r="AX109" s="18">
        <v>1.7620000000000002E-8</v>
      </c>
      <c r="AY109" s="18">
        <v>2.69E-5</v>
      </c>
      <c r="AZ109" s="18">
        <v>2.098E-4</v>
      </c>
      <c r="BA109" s="18">
        <v>2.198E-5</v>
      </c>
      <c r="BB109" s="18">
        <v>1.665E-3</v>
      </c>
      <c r="BC109" s="18">
        <v>2.6679999999999999E-5</v>
      </c>
      <c r="BD109" s="18">
        <v>0.2268</v>
      </c>
      <c r="BE109" s="18">
        <v>3.832E-2</v>
      </c>
      <c r="BF109" s="13"/>
      <c r="BG109" t="s">
        <v>1164</v>
      </c>
      <c r="BH109" t="s">
        <v>1112</v>
      </c>
      <c r="BI109" t="s">
        <v>1113</v>
      </c>
      <c r="BJ109" t="s">
        <v>1114</v>
      </c>
      <c r="BK109" t="s">
        <v>1248</v>
      </c>
      <c r="BL109" t="s">
        <v>1116</v>
      </c>
      <c r="BM109" t="s">
        <v>1117</v>
      </c>
      <c r="BN109" s="13"/>
      <c r="BO109" t="s">
        <v>973</v>
      </c>
      <c r="BP109" t="s">
        <v>973</v>
      </c>
      <c r="BQ109" t="s">
        <v>973</v>
      </c>
      <c r="BR109" t="s">
        <v>973</v>
      </c>
    </row>
    <row r="110" spans="1:70" x14ac:dyDescent="0.25">
      <c r="A110" t="s">
        <v>598</v>
      </c>
      <c r="B110" t="s">
        <v>599</v>
      </c>
      <c r="C110" t="s">
        <v>22</v>
      </c>
      <c r="D110" s="6"/>
      <c r="E110" s="9" t="str">
        <f>HYPERLINK("http://plants.ensembl.org/Triticum_aestivum/Gene/Summary?g=TRIAE_CS42_5AS_TGACv1_393130_AA1268830","TRIAE_CS42_5AS_TGACv1_393130_AA1268830")</f>
        <v>TRIAE_CS42_5AS_TGACv1_393130_AA1268830</v>
      </c>
      <c r="F110" s="9" t="str">
        <f>HYPERLINK("http://mar2016-plants.ensembl.org/Triticum_aestivum/Gene/Summary?db=core;g=Traes_5AS_A86138871","Traes_5AS_A86138871")</f>
        <v>Traes_5AS_A86138871</v>
      </c>
      <c r="G110" t="s">
        <v>1012</v>
      </c>
      <c r="H110" s="8" t="str">
        <f>HYPERLINK("http://plants.ensembl.org/Brachypodium_distachyon/Gene/Summary?g=Bradi4g01730","Bradi4g01730")</f>
        <v>Bradi4g01730</v>
      </c>
      <c r="I110" s="1" t="s">
        <v>1051</v>
      </c>
      <c r="J110" s="9" t="str">
        <f>HYPERLINK("http://plants.ensembl.org/Oryza_sativa/Gene/Summary?db=otherfeatures;g=LOC_Os12g41950","LOC_Os12g41950")</f>
        <v>LOC_Os12g41950</v>
      </c>
      <c r="K110" s="9" t="str">
        <f>HYPERLINK("http://plants.ensembl.org/Zea_mays/Gene/Summary?db=otherfeatures;g=GRMZM2G081158","GRMZM2G081158")</f>
        <v>GRMZM2G081158</v>
      </c>
      <c r="L110" s="6"/>
      <c r="M110" t="s">
        <v>973</v>
      </c>
      <c r="N110" t="s">
        <v>973</v>
      </c>
      <c r="O110" t="s">
        <v>973</v>
      </c>
      <c r="P110">
        <v>1</v>
      </c>
      <c r="S110" t="s">
        <v>973</v>
      </c>
      <c r="T110" s="6"/>
      <c r="U110" s="11">
        <v>7.9216384497880394</v>
      </c>
      <c r="V110" s="11">
        <v>6.2651836970552965</v>
      </c>
      <c r="W110" s="11">
        <v>8.6976888092991462</v>
      </c>
      <c r="X110" s="11">
        <v>7.9130455698472035</v>
      </c>
      <c r="Y110" s="11">
        <v>8.397235661764995</v>
      </c>
      <c r="Z110" s="11">
        <v>7.8897193248986408</v>
      </c>
      <c r="AA110" s="11">
        <v>8.6259087368322422</v>
      </c>
      <c r="AB110" s="11">
        <v>8.2000709119772885</v>
      </c>
      <c r="AC110" s="11">
        <v>8.8106818408656267</v>
      </c>
      <c r="AD110" s="11">
        <v>8.2496084125390148</v>
      </c>
      <c r="AE110" s="11">
        <v>9.2987097827431882</v>
      </c>
      <c r="AF110" s="11">
        <v>9.0612339151921422</v>
      </c>
      <c r="AG110" s="11">
        <v>9.2210471574627046</v>
      </c>
      <c r="AH110" s="11">
        <v>8.6306623480893823</v>
      </c>
      <c r="AI110" s="11">
        <v>9.2490959869490617</v>
      </c>
      <c r="AJ110" s="11">
        <v>8.9868087213899663</v>
      </c>
      <c r="AK110" s="6"/>
      <c r="AL110" t="s">
        <v>1075</v>
      </c>
      <c r="AM110">
        <v>0</v>
      </c>
      <c r="AN110" s="6"/>
      <c r="AO110" s="20">
        <v>-0.96</v>
      </c>
      <c r="AP110" s="20">
        <v>-2.0539999999999998</v>
      </c>
      <c r="AQ110" s="20">
        <v>-0.60109999999999997</v>
      </c>
      <c r="AR110" s="20">
        <v>-1.1469</v>
      </c>
      <c r="AS110" s="20">
        <v>-0.82420000000000004</v>
      </c>
      <c r="AT110" s="20">
        <v>-0.74570000000000003</v>
      </c>
      <c r="AU110" s="20">
        <v>-0.62570000000000003</v>
      </c>
      <c r="AV110" s="20">
        <v>-0.78749999999999998</v>
      </c>
      <c r="AW110" s="6"/>
      <c r="AX110" s="18">
        <v>6.5450000000000004E-7</v>
      </c>
      <c r="AY110" s="18">
        <v>4.4240000000000001E-15</v>
      </c>
      <c r="AZ110" s="18">
        <v>7.1330000000000005E-4</v>
      </c>
      <c r="BA110" s="18">
        <v>2.8289999999999997E-10</v>
      </c>
      <c r="BB110" s="18">
        <v>3.9530000000000001E-6</v>
      </c>
      <c r="BC110" s="18">
        <v>4.3449999999999999E-5</v>
      </c>
      <c r="BD110" s="18">
        <v>4.1730000000000001E-4</v>
      </c>
      <c r="BE110" s="18">
        <v>1.331E-5</v>
      </c>
      <c r="BF110" s="13"/>
      <c r="BG110" t="s">
        <v>1249</v>
      </c>
      <c r="BH110" t="s">
        <v>1157</v>
      </c>
      <c r="BI110" t="s">
        <v>1113</v>
      </c>
      <c r="BJ110" t="s">
        <v>1148</v>
      </c>
      <c r="BK110" t="s">
        <v>1115</v>
      </c>
      <c r="BL110" t="s">
        <v>1116</v>
      </c>
      <c r="BM110" t="s">
        <v>1117</v>
      </c>
      <c r="BN110" s="13"/>
      <c r="BO110" t="s">
        <v>973</v>
      </c>
      <c r="BP110" t="s">
        <v>973</v>
      </c>
      <c r="BQ110" t="s">
        <v>973</v>
      </c>
      <c r="BR110" t="s">
        <v>973</v>
      </c>
    </row>
    <row r="111" spans="1:70" x14ac:dyDescent="0.25">
      <c r="A111" t="s">
        <v>666</v>
      </c>
      <c r="B111" t="s">
        <v>599</v>
      </c>
      <c r="C111" t="s">
        <v>22</v>
      </c>
      <c r="D111" s="6"/>
      <c r="E111" s="9" t="str">
        <f>HYPERLINK("http://plants.ensembl.org/Triticum_aestivum/Gene/Summary?g=TRIAE_CS42_5BS_TGACv1_423450_AA1377000","TRIAE_CS42_5BS_TGACv1_423450_AA1377000")</f>
        <v>TRIAE_CS42_5BS_TGACv1_423450_AA1377000</v>
      </c>
      <c r="F111" s="9" t="str">
        <f>HYPERLINK("http://mar2016-plants.ensembl.org/Triticum_aestivum/Gene/Summary?db=core;g=Traes_5BS_3F6023CD6","Traes_5BS_3F6023CD6")</f>
        <v>Traes_5BS_3F6023CD6</v>
      </c>
      <c r="G111" t="s">
        <v>1012</v>
      </c>
      <c r="H111" s="8" t="str">
        <f>HYPERLINK("http://plants.ensembl.org/Brachypodium_distachyon/Gene/Summary?g=Bradi4g01730","Bradi4g01730")</f>
        <v>Bradi4g01730</v>
      </c>
      <c r="I111" s="1" t="s">
        <v>1051</v>
      </c>
      <c r="J111" s="9" t="str">
        <f>HYPERLINK("http://plants.ensembl.org/Oryza_sativa/Gene/Summary?db=otherfeatures;g=LOC_Os12g41950","LOC_Os12g41950")</f>
        <v>LOC_Os12g41950</v>
      </c>
      <c r="K111" s="9" t="str">
        <f>HYPERLINK("http://plants.ensembl.org/Zea_mays/Gene/Summary?db=otherfeatures;g=GRMZM2G081158","GRMZM2G081158")</f>
        <v>GRMZM2G081158</v>
      </c>
      <c r="L111" s="6"/>
      <c r="M111" t="s">
        <v>973</v>
      </c>
      <c r="N111" t="s">
        <v>973</v>
      </c>
      <c r="O111" t="s">
        <v>973</v>
      </c>
      <c r="P111">
        <v>1</v>
      </c>
      <c r="S111" t="s">
        <v>973</v>
      </c>
      <c r="T111" s="6"/>
      <c r="U111" s="11">
        <v>8.4066615208251338</v>
      </c>
      <c r="V111" s="11">
        <v>6.9375644993574328</v>
      </c>
      <c r="W111" s="11">
        <v>9.2267966996553863</v>
      </c>
      <c r="X111" s="11">
        <v>8.4148126242065562</v>
      </c>
      <c r="Y111" s="11">
        <v>8.7353180653758233</v>
      </c>
      <c r="Z111" s="11">
        <v>8.397990444143467</v>
      </c>
      <c r="AA111" s="11">
        <v>9.0944111521135262</v>
      </c>
      <c r="AB111" s="11">
        <v>8.661409361921061</v>
      </c>
      <c r="AC111" s="11">
        <v>9.5295240627428388</v>
      </c>
      <c r="AD111" s="11">
        <v>8.7462419916466114</v>
      </c>
      <c r="AE111" s="11">
        <v>9.7246212838570063</v>
      </c>
      <c r="AF111" s="11">
        <v>9.5168634451073881</v>
      </c>
      <c r="AG111" s="11">
        <v>9.7242259106605076</v>
      </c>
      <c r="AH111" s="11">
        <v>9.0780084441232916</v>
      </c>
      <c r="AI111" s="11">
        <v>9.7518680433111609</v>
      </c>
      <c r="AJ111" s="11">
        <v>9.3182467839537715</v>
      </c>
      <c r="AK111" s="6"/>
      <c r="AL111" t="s">
        <v>1075</v>
      </c>
      <c r="AM111">
        <v>0</v>
      </c>
      <c r="AN111" s="6"/>
      <c r="AO111" s="20">
        <v>-1.1828000000000001</v>
      </c>
      <c r="AP111" s="20">
        <v>-1.7584</v>
      </c>
      <c r="AQ111" s="20">
        <v>-0.4975</v>
      </c>
      <c r="AR111" s="20">
        <v>-1.1012999999999999</v>
      </c>
      <c r="AS111" s="20">
        <v>-0.98980000000000001</v>
      </c>
      <c r="AT111" s="20">
        <v>-0.67879999999999996</v>
      </c>
      <c r="AU111" s="20">
        <v>-0.65810000000000002</v>
      </c>
      <c r="AV111" s="20">
        <v>-0.65759999999999996</v>
      </c>
      <c r="AW111" s="6"/>
      <c r="AX111" s="18">
        <v>2.1779999999999998E-12</v>
      </c>
      <c r="AY111" s="18">
        <v>3.7919999999999998E-16</v>
      </c>
      <c r="AZ111" s="18">
        <v>1.4649999999999999E-3</v>
      </c>
      <c r="BA111" s="18">
        <v>5.4610000000000003E-12</v>
      </c>
      <c r="BB111" s="18">
        <v>3.3980000000000001E-10</v>
      </c>
      <c r="BC111" s="18">
        <v>2.2750000000000001E-5</v>
      </c>
      <c r="BD111" s="18">
        <v>2.4939999999999998E-5</v>
      </c>
      <c r="BE111" s="18">
        <v>3.6699999999999998E-5</v>
      </c>
      <c r="BF111" s="13"/>
      <c r="BG111" t="s">
        <v>1213</v>
      </c>
      <c r="BH111" t="s">
        <v>1157</v>
      </c>
      <c r="BI111" t="s">
        <v>1113</v>
      </c>
      <c r="BJ111" t="s">
        <v>1148</v>
      </c>
      <c r="BK111" t="s">
        <v>1115</v>
      </c>
      <c r="BL111" t="s">
        <v>1116</v>
      </c>
      <c r="BM111" t="s">
        <v>1117</v>
      </c>
      <c r="BN111" s="13"/>
      <c r="BO111" t="s">
        <v>973</v>
      </c>
      <c r="BP111" t="s">
        <v>973</v>
      </c>
      <c r="BQ111" t="s">
        <v>973</v>
      </c>
      <c r="BR111" t="s">
        <v>973</v>
      </c>
    </row>
    <row r="112" spans="1:70" x14ac:dyDescent="0.25">
      <c r="A112" t="s">
        <v>717</v>
      </c>
      <c r="B112" t="s">
        <v>718</v>
      </c>
      <c r="C112" t="s">
        <v>22</v>
      </c>
      <c r="D112" s="6"/>
      <c r="E112" s="9" t="str">
        <f>HYPERLINK("http://plants.ensembl.org/Triticum_aestivum/Gene/Summary?g=TRIAE_CS42_5DS_TGACv1_457945_AA1490960","TRIAE_CS42_5DS_TGACv1_457945_AA1490960")</f>
        <v>TRIAE_CS42_5DS_TGACv1_457945_AA1490960</v>
      </c>
      <c r="F112" s="9" t="str">
        <f>HYPERLINK("http://mar2016-plants.ensembl.org/Triticum_aestivum/Gene/Summary?db=core;g=Traes_5DS_A71D29AE1","Traes_5DS_A71D29AE1")</f>
        <v>Traes_5DS_A71D29AE1</v>
      </c>
      <c r="G112" t="s">
        <v>1012</v>
      </c>
      <c r="H112" s="8" t="str">
        <f>HYPERLINK("http://plants.ensembl.org/Brachypodium_distachyon/Gene/Summary?g=Bradi4g01730","Bradi4g01730")</f>
        <v>Bradi4g01730</v>
      </c>
      <c r="I112" s="1" t="s">
        <v>1051</v>
      </c>
      <c r="J112" s="9" t="str">
        <f>HYPERLINK("http://plants.ensembl.org/Oryza_sativa/Gene/Summary?db=otherfeatures;g=LOC_Os12g41950","LOC_Os12g41950")</f>
        <v>LOC_Os12g41950</v>
      </c>
      <c r="K112" s="9" t="str">
        <f>HYPERLINK("http://plants.ensembl.org/Zea_mays/Gene/Summary?db=otherfeatures;g=GRMZM2G081158","GRMZM2G081158")</f>
        <v>GRMZM2G081158</v>
      </c>
      <c r="L112" s="6"/>
      <c r="M112" t="s">
        <v>973</v>
      </c>
      <c r="N112" t="s">
        <v>973</v>
      </c>
      <c r="O112" t="s">
        <v>973</v>
      </c>
      <c r="P112">
        <v>1</v>
      </c>
      <c r="S112" t="s">
        <v>973</v>
      </c>
      <c r="T112" s="6"/>
      <c r="U112" s="11">
        <v>8.1282390899329222</v>
      </c>
      <c r="V112" s="11">
        <v>6.8576422536822568</v>
      </c>
      <c r="W112" s="11">
        <v>6.9037043341317421</v>
      </c>
      <c r="X112" s="11">
        <v>6.4842321375342182</v>
      </c>
      <c r="Y112" s="11">
        <v>6.8221509995179037</v>
      </c>
      <c r="Z112" s="11">
        <v>6.571098827502901</v>
      </c>
      <c r="AA112" s="11">
        <v>8.9412735081413679</v>
      </c>
      <c r="AB112" s="11">
        <v>8.5607676791242842</v>
      </c>
      <c r="AC112" s="11">
        <v>9.4428638966850968</v>
      </c>
      <c r="AD112" s="11">
        <v>8.6506866646912712</v>
      </c>
      <c r="AE112" s="11">
        <v>7.2095232241704048</v>
      </c>
      <c r="AF112" s="11">
        <v>7.2564990070981619</v>
      </c>
      <c r="AG112" s="11">
        <v>7.2944672820849172</v>
      </c>
      <c r="AH112" s="11">
        <v>7.5167989160749871</v>
      </c>
      <c r="AI112" s="11">
        <v>9.4754889761112224</v>
      </c>
      <c r="AJ112" s="11">
        <v>9.2224541692949416</v>
      </c>
      <c r="AK112" s="6"/>
      <c r="AL112" t="s">
        <v>1086</v>
      </c>
      <c r="AM112">
        <v>0</v>
      </c>
      <c r="AN112" s="6"/>
      <c r="AO112" s="20">
        <v>-1.3678999999999999</v>
      </c>
      <c r="AP112" s="20">
        <v>-2.0289999999999999</v>
      </c>
      <c r="AQ112" s="20">
        <v>-0.30809999999999998</v>
      </c>
      <c r="AR112" s="20">
        <v>-0.76800000000000002</v>
      </c>
      <c r="AS112" s="20">
        <v>-0.47689999999999999</v>
      </c>
      <c r="AT112" s="20">
        <v>-0.97170000000000001</v>
      </c>
      <c r="AU112" s="20">
        <v>-0.53420000000000001</v>
      </c>
      <c r="AV112" s="20">
        <v>-0.66200000000000003</v>
      </c>
      <c r="AW112" s="6"/>
      <c r="AX112" s="18">
        <v>7.2210000000000004E-16</v>
      </c>
      <c r="AY112" s="18">
        <v>2.6059999999999998E-19</v>
      </c>
      <c r="AZ112" s="18">
        <v>7.7689999999999995E-2</v>
      </c>
      <c r="BA112" s="18">
        <v>2.4450000000000001E-5</v>
      </c>
      <c r="BB112" s="18">
        <v>6.1919999999999996E-3</v>
      </c>
      <c r="BC112" s="18">
        <v>4.2499999999999997E-8</v>
      </c>
      <c r="BD112" s="18">
        <v>5.7709999999999999E-4</v>
      </c>
      <c r="BE112" s="18">
        <v>2.881E-5</v>
      </c>
      <c r="BF112" s="13"/>
      <c r="BG112" t="s">
        <v>1164</v>
      </c>
      <c r="BH112" t="s">
        <v>1196</v>
      </c>
      <c r="BI112" t="s">
        <v>1343</v>
      </c>
      <c r="BJ112" t="s">
        <v>1148</v>
      </c>
      <c r="BK112" t="s">
        <v>1115</v>
      </c>
      <c r="BL112" t="s">
        <v>1160</v>
      </c>
      <c r="BM112" t="s">
        <v>1184</v>
      </c>
      <c r="BN112" s="13"/>
      <c r="BO112" t="s">
        <v>973</v>
      </c>
      <c r="BP112" t="s">
        <v>973</v>
      </c>
      <c r="BQ112" t="s">
        <v>973</v>
      </c>
      <c r="BR112" t="s">
        <v>973</v>
      </c>
    </row>
    <row r="113" spans="1:70" x14ac:dyDescent="0.25">
      <c r="A113" t="s">
        <v>764</v>
      </c>
      <c r="B113" t="s">
        <v>765</v>
      </c>
      <c r="C113" t="s">
        <v>22</v>
      </c>
      <c r="D113" s="6"/>
      <c r="E113" s="9" t="str">
        <f>HYPERLINK("http://plants.ensembl.org/Triticum_aestivum/Gene/Summary?g=TRIAE_CS42_6AS_TGACv1_486564_AA1562680","TRIAE_CS42_6AS_TGACv1_486564_AA1562680")</f>
        <v>TRIAE_CS42_6AS_TGACv1_486564_AA1562680</v>
      </c>
      <c r="F113" s="9" t="str">
        <f>HYPERLINK("http://mar2016-plants.ensembl.org/Triticum_aestivum/Gene/Summary?db=core;g=Traes_6AS_DEE1DEE94","Traes_6AS_DEE1DEE94")</f>
        <v>Traes_6AS_DEE1DEE94</v>
      </c>
      <c r="H113" s="1" t="s">
        <v>1051</v>
      </c>
      <c r="I113" s="1" t="s">
        <v>1051</v>
      </c>
      <c r="J113" s="1" t="s">
        <v>1051</v>
      </c>
      <c r="L113" s="6"/>
      <c r="M113" s="1" t="s">
        <v>973</v>
      </c>
      <c r="N113" s="1" t="s">
        <v>973</v>
      </c>
      <c r="O113" s="1" t="s">
        <v>973</v>
      </c>
      <c r="P113" s="1">
        <v>1</v>
      </c>
      <c r="Q113" s="1" t="s">
        <v>973</v>
      </c>
      <c r="R113" s="1" t="s">
        <v>973</v>
      </c>
      <c r="S113" s="1"/>
      <c r="T113" s="6"/>
      <c r="U113" s="11">
        <v>3.833935799861762</v>
      </c>
      <c r="V113" s="11">
        <v>4.1651857202412241</v>
      </c>
      <c r="W113" s="11">
        <v>5.9880067258940297</v>
      </c>
      <c r="X113" s="11">
        <v>6.4909588826665603</v>
      </c>
      <c r="Y113" s="11">
        <v>6.8239212814118009</v>
      </c>
      <c r="Z113" s="11">
        <v>6.793703874487762</v>
      </c>
      <c r="AA113" s="11">
        <v>7.0597633719801669</v>
      </c>
      <c r="AB113" s="11">
        <v>6.648811502602344</v>
      </c>
      <c r="AC113" s="11">
        <v>4.38750270413012</v>
      </c>
      <c r="AD113" s="11">
        <v>4.4649296011298523</v>
      </c>
      <c r="AE113" s="11">
        <v>6.6859700408074323</v>
      </c>
      <c r="AF113" s="11">
        <v>6.2169081421567656</v>
      </c>
      <c r="AG113" s="11">
        <v>6.8191619082952553</v>
      </c>
      <c r="AH113" s="11">
        <v>6.4766025684832007</v>
      </c>
      <c r="AI113" s="11">
        <v>7.0541911429295752</v>
      </c>
      <c r="AJ113" s="11">
        <v>7.4828316149838559</v>
      </c>
      <c r="AK113" s="6"/>
      <c r="AL113" t="s">
        <v>1085</v>
      </c>
      <c r="AM113">
        <v>23</v>
      </c>
      <c r="AN113" s="6"/>
      <c r="AO113" s="20">
        <v>-0.63300000000000001</v>
      </c>
      <c r="AP113" s="20">
        <v>-0.7248</v>
      </c>
      <c r="AQ113" s="20">
        <v>-0.69879999999999998</v>
      </c>
      <c r="AR113" s="20">
        <v>0.27829999999999999</v>
      </c>
      <c r="AS113" s="20">
        <v>2E-3</v>
      </c>
      <c r="AT113" s="20">
        <v>0.33500000000000002</v>
      </c>
      <c r="AU113" s="20">
        <v>2.8E-3</v>
      </c>
      <c r="AV113" s="20">
        <v>-0.83779999999999999</v>
      </c>
      <c r="AW113" s="6"/>
      <c r="AX113" s="18">
        <v>0.1129</v>
      </c>
      <c r="AY113" s="18">
        <v>0.126</v>
      </c>
      <c r="AZ113" s="18">
        <v>2.284E-3</v>
      </c>
      <c r="BA113" s="18">
        <v>0.2303</v>
      </c>
      <c r="BB113" s="18">
        <v>0.99260000000000004</v>
      </c>
      <c r="BC113" s="18">
        <v>0.13730000000000001</v>
      </c>
      <c r="BD113" s="18">
        <v>0.98950000000000005</v>
      </c>
      <c r="BE113" s="18">
        <v>1.4090000000000001E-4</v>
      </c>
      <c r="BF113" s="13"/>
      <c r="BG113" t="s">
        <v>1111</v>
      </c>
      <c r="BH113" t="s">
        <v>1339</v>
      </c>
      <c r="BI113" t="s">
        <v>1373</v>
      </c>
      <c r="BJ113" t="s">
        <v>1114</v>
      </c>
      <c r="BK113" t="s">
        <v>1115</v>
      </c>
      <c r="BL113" t="s">
        <v>1214</v>
      </c>
      <c r="BM113" t="s">
        <v>1212</v>
      </c>
      <c r="BN113" s="13"/>
      <c r="BO113" t="s">
        <v>973</v>
      </c>
      <c r="BP113" t="s">
        <v>973</v>
      </c>
      <c r="BQ113" t="s">
        <v>973</v>
      </c>
      <c r="BR113" t="s">
        <v>973</v>
      </c>
    </row>
    <row r="114" spans="1:70" x14ac:dyDescent="0.25">
      <c r="A114" t="s">
        <v>766</v>
      </c>
      <c r="B114" t="s">
        <v>767</v>
      </c>
      <c r="C114" t="s">
        <v>22</v>
      </c>
      <c r="D114" s="6"/>
      <c r="E114" s="9" t="str">
        <f>HYPERLINK("http://plants.ensembl.org/Triticum_aestivum/Gene/Summary?g=TRIAE_CS42_6AS_TGACv1_486530_AA1562300","TRIAE_CS42_6AS_TGACv1_486530_AA1562300")</f>
        <v>TRIAE_CS42_6AS_TGACv1_486530_AA1562300</v>
      </c>
      <c r="F114" s="9" t="str">
        <f>HYPERLINK("http://mar2016-plants.ensembl.org/Triticum_aestivum/Gene/Summary?db=core;g=Traes_6AS_967D58FB4","Traes_6AS_967D58FB4")</f>
        <v>Traes_6AS_967D58FB4</v>
      </c>
      <c r="G114" t="s">
        <v>1027</v>
      </c>
      <c r="H114" s="8" t="str">
        <f>HYPERLINK("http://plants.ensembl.org/Brachypodium_distachyon/Gene/Summary?g=Bradi3g03407","Bradi3g03407")</f>
        <v>Bradi3g03407</v>
      </c>
      <c r="I114" s="1" t="s">
        <v>1051</v>
      </c>
      <c r="J114" s="9" t="str">
        <f>HYPERLINK("http://plants.ensembl.org/Oryza_sativa/Gene/Summary?db=otherfeatures;g=LOC_Os02g04810","LOC_Os02g04810")</f>
        <v>LOC_Os02g04810</v>
      </c>
      <c r="K114" s="9" t="str">
        <f>HYPERLINK("http://plants.ensembl.org/Zea_mays/Gene/Summary?db=otherfeatures;g=GRMZM2G102845","GRMZM2G102845")</f>
        <v>GRMZM2G102845</v>
      </c>
      <c r="L114" s="6"/>
      <c r="M114" t="s">
        <v>973</v>
      </c>
      <c r="N114" t="s">
        <v>973</v>
      </c>
      <c r="O114" t="s">
        <v>973</v>
      </c>
      <c r="P114">
        <v>1</v>
      </c>
      <c r="S114" t="s">
        <v>973</v>
      </c>
      <c r="T114" s="6"/>
      <c r="U114" s="11">
        <v>5.3820792658341263</v>
      </c>
      <c r="V114" s="11">
        <v>4.403379079189957</v>
      </c>
      <c r="W114" s="11">
        <v>6.641753131899204</v>
      </c>
      <c r="X114" s="11">
        <v>5.9444415029065922</v>
      </c>
      <c r="Y114" s="11">
        <v>6.3311181842469102</v>
      </c>
      <c r="Z114" s="11">
        <v>5.7057973231863048</v>
      </c>
      <c r="AA114" s="11">
        <v>6.7161248346305085</v>
      </c>
      <c r="AB114" s="11">
        <v>6.3409010655654567</v>
      </c>
      <c r="AC114" s="11">
        <v>6.8388828735102907</v>
      </c>
      <c r="AD114" s="11">
        <v>6.4542872282652333</v>
      </c>
      <c r="AE114" s="11">
        <v>7.3297649505745692</v>
      </c>
      <c r="AF114" s="11">
        <v>6.750947220022093</v>
      </c>
      <c r="AG114" s="11">
        <v>7.5373931444018059</v>
      </c>
      <c r="AH114" s="11">
        <v>6.2461952398223479</v>
      </c>
      <c r="AI114" s="11">
        <v>7.8327824407871978</v>
      </c>
      <c r="AJ114" s="11">
        <v>7.1275160078427531</v>
      </c>
      <c r="AK114" s="6"/>
      <c r="AL114" t="s">
        <v>1076</v>
      </c>
      <c r="AM114">
        <v>0</v>
      </c>
      <c r="AN114" s="6"/>
      <c r="AO114" s="20">
        <v>-1.4444999999999999</v>
      </c>
      <c r="AP114" s="20">
        <v>-2.6339999999999999</v>
      </c>
      <c r="AQ114" s="20">
        <v>-0.69240000000000002</v>
      </c>
      <c r="AR114" s="20">
        <v>-0.80259999999999998</v>
      </c>
      <c r="AS114" s="20">
        <v>-1.2112000000000001</v>
      </c>
      <c r="AT114" s="20">
        <v>-0.56710000000000005</v>
      </c>
      <c r="AU114" s="20">
        <v>-1.1215999999999999</v>
      </c>
      <c r="AV114" s="20">
        <v>-0.79149999999999998</v>
      </c>
      <c r="AW114" s="6"/>
      <c r="AX114" s="18">
        <v>3.4209999999999999E-6</v>
      </c>
      <c r="AY114" s="18">
        <v>1.3909999999999999E-7</v>
      </c>
      <c r="AZ114" s="18">
        <v>7.8309999999999994E-3</v>
      </c>
      <c r="BA114" s="18">
        <v>3.31E-3</v>
      </c>
      <c r="BB114" s="18">
        <v>3.9990000000000002E-6</v>
      </c>
      <c r="BC114" s="18">
        <v>4.2169999999999999E-2</v>
      </c>
      <c r="BD114" s="18">
        <v>1.223E-5</v>
      </c>
      <c r="BE114" s="18">
        <v>2.9940000000000001E-3</v>
      </c>
      <c r="BF114" s="13"/>
      <c r="BG114" t="s">
        <v>1338</v>
      </c>
      <c r="BH114" t="s">
        <v>1216</v>
      </c>
      <c r="BI114" t="s">
        <v>1113</v>
      </c>
      <c r="BJ114" t="s">
        <v>1114</v>
      </c>
      <c r="BK114" t="s">
        <v>1208</v>
      </c>
      <c r="BL114" t="s">
        <v>1116</v>
      </c>
      <c r="BM114" t="s">
        <v>1117</v>
      </c>
      <c r="BN114" s="13"/>
      <c r="BO114" t="s">
        <v>973</v>
      </c>
      <c r="BP114" t="s">
        <v>973</v>
      </c>
      <c r="BQ114" t="s">
        <v>973</v>
      </c>
      <c r="BR114" t="s">
        <v>973</v>
      </c>
    </row>
    <row r="115" spans="1:70" x14ac:dyDescent="0.25">
      <c r="A115" t="s">
        <v>768</v>
      </c>
      <c r="B115" t="s">
        <v>769</v>
      </c>
      <c r="C115" t="s">
        <v>22</v>
      </c>
      <c r="D115" s="6"/>
      <c r="E115" s="9" t="str">
        <f>HYPERLINK("http://plants.ensembl.org/Triticum_aestivum/Gene/Summary?g=TRIAE_CS42_6AS_TGACv1_486005_AA1555510","TRIAE_CS42_6AS_TGACv1_486005_AA1555510")</f>
        <v>TRIAE_CS42_6AS_TGACv1_486005_AA1555510</v>
      </c>
      <c r="F115" s="9" t="str">
        <f>HYPERLINK("http://mar2016-plants.ensembl.org/Triticum_aestivum/Gene/Summary?db=core;g=Traes_6AS_10D92215D","Traes_6AS_10D92215D")</f>
        <v>Traes_6AS_10D92215D</v>
      </c>
      <c r="G115" t="s">
        <v>1012</v>
      </c>
      <c r="H115" s="8" t="str">
        <f>HYPERLINK("http://plants.ensembl.org/Brachypodium_distachyon/Gene/Summary?g=Bradi3g04920","Bradi3g04920")</f>
        <v>Bradi3g04920</v>
      </c>
      <c r="I115" s="1" t="s">
        <v>1051</v>
      </c>
      <c r="J115" s="9" t="str">
        <f>HYPERLINK("http://plants.ensembl.org/Oryza_sativa/Gene/Summary?db=otherfeatures;g=LOC_Os02g06910","LOC_Os02g06910")</f>
        <v>LOC_Os02g06910</v>
      </c>
      <c r="K115" s="9" t="str">
        <f>HYPERLINK("http://plants.ensembl.org/Zea_mays/Gene/Summary?db=otherfeatures;g=GRMZM2G028980","GRMZM2G028980")</f>
        <v>GRMZM2G028980</v>
      </c>
      <c r="L115" s="6"/>
      <c r="M115" t="s">
        <v>973</v>
      </c>
      <c r="N115" t="s">
        <v>973</v>
      </c>
      <c r="O115" t="s">
        <v>973</v>
      </c>
      <c r="P115">
        <v>1</v>
      </c>
      <c r="S115" t="s">
        <v>973</v>
      </c>
      <c r="T115" s="6"/>
      <c r="U115" s="11">
        <v>6.4217820880239964</v>
      </c>
      <c r="V115" s="11">
        <v>4.7897692387535571</v>
      </c>
      <c r="W115" s="11">
        <v>6.6222973740588591</v>
      </c>
      <c r="X115" s="11">
        <v>5.5891452563742696</v>
      </c>
      <c r="Y115" s="11">
        <v>6.0694214816451195</v>
      </c>
      <c r="Z115" s="11">
        <v>5.9970831098310056</v>
      </c>
      <c r="AA115" s="11">
        <v>6.3059066996455169</v>
      </c>
      <c r="AB115" s="11">
        <v>5.6441398919029711</v>
      </c>
      <c r="AC115" s="11">
        <v>7.0617747577705616</v>
      </c>
      <c r="AD115" s="11">
        <v>5.6406643054015673</v>
      </c>
      <c r="AE115" s="11">
        <v>6.3102692202981858</v>
      </c>
      <c r="AF115" s="11">
        <v>5.9199065285971759</v>
      </c>
      <c r="AG115" s="11">
        <v>7.1296711184041834</v>
      </c>
      <c r="AH115" s="11">
        <v>5.9942508415636295</v>
      </c>
      <c r="AI115" s="11">
        <v>6.8576252523215322</v>
      </c>
      <c r="AJ115" s="11">
        <v>5.7560403069389432</v>
      </c>
      <c r="AK115" s="6"/>
      <c r="AL115" t="s">
        <v>1105</v>
      </c>
      <c r="AM115">
        <v>0</v>
      </c>
      <c r="AN115" s="6"/>
      <c r="AO115" s="20">
        <v>-0.65110000000000001</v>
      </c>
      <c r="AP115" s="20">
        <v>-0.77749999999999997</v>
      </c>
      <c r="AQ115" s="20">
        <v>0.30819999999999997</v>
      </c>
      <c r="AR115" s="20">
        <v>-0.33069999999999999</v>
      </c>
      <c r="AS115" s="20">
        <v>-1.0636000000000001</v>
      </c>
      <c r="AT115" s="20">
        <v>-2.5999999999999999E-3</v>
      </c>
      <c r="AU115" s="20">
        <v>-0.56130000000000002</v>
      </c>
      <c r="AV115" s="20">
        <v>-0.1133</v>
      </c>
      <c r="AW115" s="6"/>
      <c r="AX115" s="18">
        <v>4.4549999999999999E-2</v>
      </c>
      <c r="AY115" s="18">
        <v>0.08</v>
      </c>
      <c r="AZ115" s="18">
        <v>0.31809999999999999</v>
      </c>
      <c r="BA115" s="18">
        <v>0.309</v>
      </c>
      <c r="BB115" s="18">
        <v>5.5999999999999995E-4</v>
      </c>
      <c r="BC115" s="18">
        <v>0.99350000000000005</v>
      </c>
      <c r="BD115" s="18">
        <v>6.6119999999999998E-2</v>
      </c>
      <c r="BE115" s="18">
        <v>0.72799999999999998</v>
      </c>
      <c r="BF115" s="13"/>
      <c r="BG115" t="s">
        <v>1273</v>
      </c>
      <c r="BH115" t="s">
        <v>1112</v>
      </c>
      <c r="BI115" t="s">
        <v>1113</v>
      </c>
      <c r="BJ115" t="s">
        <v>1114</v>
      </c>
      <c r="BK115" t="s">
        <v>1247</v>
      </c>
      <c r="BL115" t="s">
        <v>1116</v>
      </c>
      <c r="BM115" t="s">
        <v>1117</v>
      </c>
      <c r="BN115" s="13"/>
      <c r="BO115" t="s">
        <v>973</v>
      </c>
      <c r="BP115" t="s">
        <v>973</v>
      </c>
      <c r="BQ115" t="s">
        <v>973</v>
      </c>
      <c r="BR115" t="s">
        <v>973</v>
      </c>
    </row>
    <row r="116" spans="1:70" x14ac:dyDescent="0.25">
      <c r="A116" t="s">
        <v>802</v>
      </c>
      <c r="B116" t="s">
        <v>769</v>
      </c>
      <c r="C116" t="s">
        <v>22</v>
      </c>
      <c r="D116" s="6"/>
      <c r="E116" s="9" t="str">
        <f>HYPERLINK("http://plants.ensembl.org/Triticum_aestivum/Gene/Summary?g=TRIAE_CS42_6BS_TGACv1_514824_AA1664750","TRIAE_CS42_6BS_TGACv1_514824_AA1664750")</f>
        <v>TRIAE_CS42_6BS_TGACv1_514824_AA1664750</v>
      </c>
      <c r="F116" s="9" t="str">
        <f>HYPERLINK("http://mar2016-plants.ensembl.org/Triticum_aestivum/Gene/Summary?db=core;g=Traes_6BS_BD894AD26","Traes_6BS_BD894AD26")</f>
        <v>Traes_6BS_BD894AD26</v>
      </c>
      <c r="H116" s="8" t="str">
        <f>HYPERLINK("http://plants.ensembl.org/Brachypodium_distachyon/Gene/Summary?g=Bradi3g04920","Bradi3g04920")</f>
        <v>Bradi3g04920</v>
      </c>
      <c r="I116" s="1" t="s">
        <v>1051</v>
      </c>
      <c r="J116" s="9" t="str">
        <f>HYPERLINK("http://plants.ensembl.org/Oryza_sativa/Gene/Summary?db=otherfeatures;g=LOC_Os02g06910","LOC_Os02g06910")</f>
        <v>LOC_Os02g06910</v>
      </c>
      <c r="L116" s="6"/>
      <c r="M116" s="1" t="s">
        <v>973</v>
      </c>
      <c r="N116" s="1" t="s">
        <v>973</v>
      </c>
      <c r="O116" s="1" t="s">
        <v>973</v>
      </c>
      <c r="P116" s="1">
        <v>1</v>
      </c>
      <c r="Q116" s="1" t="s">
        <v>973</v>
      </c>
      <c r="R116" s="1" t="s">
        <v>973</v>
      </c>
      <c r="S116" s="1"/>
      <c r="T116" s="6"/>
      <c r="U116" s="11">
        <v>7.2033130874609927</v>
      </c>
      <c r="V116" s="11">
        <v>5.0948961685897407</v>
      </c>
      <c r="W116" s="11">
        <v>7.4703321379759489</v>
      </c>
      <c r="X116" s="11">
        <v>6.5526532168955702</v>
      </c>
      <c r="Y116" s="11">
        <v>7.278630035476878</v>
      </c>
      <c r="Z116" s="11">
        <v>6.4629526312517704</v>
      </c>
      <c r="AA116" s="11">
        <v>6.9884146768441626</v>
      </c>
      <c r="AB116" s="11">
        <v>6.6375624299335847</v>
      </c>
      <c r="AC116" s="11">
        <v>7.1995997175436717</v>
      </c>
      <c r="AD116" s="11">
        <v>5.4862466975946473</v>
      </c>
      <c r="AE116" s="11">
        <v>6.8259395033380486</v>
      </c>
      <c r="AF116" s="11">
        <v>6.2239251144365833</v>
      </c>
      <c r="AG116" s="11">
        <v>7.5122371598316366</v>
      </c>
      <c r="AH116" s="11">
        <v>6.4442297399443351</v>
      </c>
      <c r="AI116" s="11">
        <v>6.7954682598776373</v>
      </c>
      <c r="AJ116" s="11">
        <v>6.0983697253521765</v>
      </c>
      <c r="AK116" s="6"/>
      <c r="AL116" t="s">
        <v>1105</v>
      </c>
      <c r="AM116">
        <v>0</v>
      </c>
      <c r="AN116" s="6"/>
      <c r="AO116" s="20">
        <v>-2.8400000000000002E-2</v>
      </c>
      <c r="AP116" s="20">
        <v>-0.5111</v>
      </c>
      <c r="AQ116" s="20">
        <v>0.64290000000000003</v>
      </c>
      <c r="AR116" s="20">
        <v>0.34870000000000001</v>
      </c>
      <c r="AS116" s="20">
        <v>-0.2321</v>
      </c>
      <c r="AT116" s="20">
        <v>1.7899999999999999E-2</v>
      </c>
      <c r="AU116" s="20">
        <v>0.19189999999999999</v>
      </c>
      <c r="AV116" s="20">
        <v>0.54179999999999995</v>
      </c>
      <c r="AW116" s="6"/>
      <c r="AX116" s="18">
        <v>0.91120000000000001</v>
      </c>
      <c r="AY116" s="18">
        <v>0.1719</v>
      </c>
      <c r="AZ116" s="18">
        <v>7.6059999999999999E-3</v>
      </c>
      <c r="BA116" s="18">
        <v>0.1711</v>
      </c>
      <c r="BB116" s="18">
        <v>0.3281</v>
      </c>
      <c r="BC116" s="18">
        <v>0.94330000000000003</v>
      </c>
      <c r="BD116" s="18">
        <v>0.42770000000000002</v>
      </c>
      <c r="BE116" s="18">
        <v>3.3099999999999997E-2</v>
      </c>
      <c r="BF116" s="13"/>
      <c r="BG116" t="s">
        <v>1111</v>
      </c>
      <c r="BH116" t="s">
        <v>1112</v>
      </c>
      <c r="BI116" t="s">
        <v>1113</v>
      </c>
      <c r="BJ116" t="s">
        <v>1148</v>
      </c>
      <c r="BK116" t="s">
        <v>1209</v>
      </c>
      <c r="BL116" t="s">
        <v>1116</v>
      </c>
      <c r="BM116" t="s">
        <v>1117</v>
      </c>
      <c r="BN116" s="13"/>
      <c r="BO116" t="s">
        <v>973</v>
      </c>
      <c r="BP116" t="s">
        <v>973</v>
      </c>
      <c r="BQ116" t="s">
        <v>973</v>
      </c>
      <c r="BR116" t="s">
        <v>973</v>
      </c>
    </row>
    <row r="117" spans="1:70" x14ac:dyDescent="0.25">
      <c r="A117" t="s">
        <v>824</v>
      </c>
      <c r="B117" t="s">
        <v>765</v>
      </c>
      <c r="C117" t="s">
        <v>22</v>
      </c>
      <c r="D117" s="6"/>
      <c r="H117" s="1" t="s">
        <v>1051</v>
      </c>
      <c r="I117" s="1" t="s">
        <v>1051</v>
      </c>
      <c r="J117" s="1" t="s">
        <v>1051</v>
      </c>
      <c r="L117" s="6"/>
      <c r="M117" s="1" t="s">
        <v>973</v>
      </c>
      <c r="N117" s="1" t="s">
        <v>973</v>
      </c>
      <c r="O117" s="1" t="s">
        <v>973</v>
      </c>
      <c r="P117" s="1">
        <v>1</v>
      </c>
      <c r="Q117" s="1" t="s">
        <v>973</v>
      </c>
      <c r="R117" s="1" t="s">
        <v>973</v>
      </c>
      <c r="S117" s="1"/>
      <c r="T117" s="6"/>
      <c r="U117" s="11">
        <v>5.6047928861904364</v>
      </c>
      <c r="V117" s="11">
        <v>5.8048021862230339</v>
      </c>
      <c r="W117" s="11">
        <v>6.6908002546970788</v>
      </c>
      <c r="X117" s="11">
        <v>6.2547974682417395</v>
      </c>
      <c r="Y117" s="11">
        <v>7.3812879876436854</v>
      </c>
      <c r="Z117" s="11">
        <v>6.6153569488856983</v>
      </c>
      <c r="AA117" s="11">
        <v>7.5116585790784089</v>
      </c>
      <c r="AB117" s="11">
        <v>6.4701941002512733</v>
      </c>
      <c r="AC117" s="11">
        <v>7.5439471705783037</v>
      </c>
      <c r="AD117" s="11">
        <v>7.2313315990677438</v>
      </c>
      <c r="AE117" s="11">
        <v>7.5249133268308688</v>
      </c>
      <c r="AF117" s="11">
        <v>7.1774298369844312</v>
      </c>
      <c r="AG117" s="11">
        <v>7.9112357748144015</v>
      </c>
      <c r="AH117" s="11">
        <v>7.2870923876158082</v>
      </c>
      <c r="AI117" s="11">
        <v>7.6419982454132853</v>
      </c>
      <c r="AJ117" s="11">
        <v>7.5613454863211729</v>
      </c>
      <c r="AK117" s="6"/>
      <c r="AL117" t="s">
        <v>1079</v>
      </c>
      <c r="AM117">
        <v>0</v>
      </c>
      <c r="AN117" s="6"/>
      <c r="AO117" s="20">
        <v>-1.9459</v>
      </c>
      <c r="AP117" s="20">
        <v>-1.532</v>
      </c>
      <c r="AQ117" s="20">
        <v>-0.83399999999999996</v>
      </c>
      <c r="AR117" s="20">
        <v>-0.92789999999999995</v>
      </c>
      <c r="AS117" s="20">
        <v>-0.52849999999999997</v>
      </c>
      <c r="AT117" s="20">
        <v>-0.6784</v>
      </c>
      <c r="AU117" s="20">
        <v>-0.1353</v>
      </c>
      <c r="AV117" s="20">
        <v>-1.0986</v>
      </c>
      <c r="AW117" s="6"/>
      <c r="AX117" s="18">
        <v>1.4420000000000001E-13</v>
      </c>
      <c r="AY117" s="18">
        <v>7.3109999999999998E-7</v>
      </c>
      <c r="AZ117" s="18">
        <v>1.144E-4</v>
      </c>
      <c r="BA117" s="18">
        <v>3.8389999999999997E-5</v>
      </c>
      <c r="BB117" s="18">
        <v>1.179E-2</v>
      </c>
      <c r="BC117" s="18">
        <v>2.0040000000000001E-3</v>
      </c>
      <c r="BD117" s="18">
        <v>0.51839999999999997</v>
      </c>
      <c r="BE117" s="18">
        <v>6.8869999999999997E-7</v>
      </c>
      <c r="BF117" s="13"/>
      <c r="BG117" t="s">
        <v>1223</v>
      </c>
      <c r="BH117" t="s">
        <v>1324</v>
      </c>
      <c r="BI117" t="s">
        <v>1113</v>
      </c>
      <c r="BJ117" t="s">
        <v>1217</v>
      </c>
      <c r="BK117" t="s">
        <v>1115</v>
      </c>
      <c r="BL117" t="s">
        <v>1116</v>
      </c>
      <c r="BM117" t="s">
        <v>1117</v>
      </c>
      <c r="BN117" s="13"/>
      <c r="BO117" t="s">
        <v>973</v>
      </c>
      <c r="BP117" t="s">
        <v>973</v>
      </c>
      <c r="BQ117" t="s">
        <v>973</v>
      </c>
      <c r="BR117" t="s">
        <v>973</v>
      </c>
    </row>
    <row r="118" spans="1:70" x14ac:dyDescent="0.25">
      <c r="A118" t="s">
        <v>825</v>
      </c>
      <c r="B118" t="s">
        <v>769</v>
      </c>
      <c r="C118" t="s">
        <v>22</v>
      </c>
      <c r="D118" s="6"/>
      <c r="E118" s="9" t="str">
        <f>HYPERLINK("http://plants.ensembl.org/Triticum_aestivum/Gene/Summary?g=TRIAE_CS42_6DS_TGACv1_542633_AA1725840","TRIAE_CS42_6DS_TGACv1_542633_AA1725840")</f>
        <v>TRIAE_CS42_6DS_TGACv1_542633_AA1725840</v>
      </c>
      <c r="F118" s="9" t="str">
        <f>HYPERLINK("http://mar2016-plants.ensembl.org/Triticum_aestivum/Gene/Summary?db=core;g=Traes_6DS_F95C12EBB","Traes_6DS_F95C12EBB")</f>
        <v>Traes_6DS_F95C12EBB</v>
      </c>
      <c r="G118" t="s">
        <v>1012</v>
      </c>
      <c r="H118" s="8" t="str">
        <f>HYPERLINK("http://plants.ensembl.org/Brachypodium_distachyon/Gene/Summary?g=Bradi3g04920","Bradi3g04920")</f>
        <v>Bradi3g04920</v>
      </c>
      <c r="I118" s="1" t="s">
        <v>1051</v>
      </c>
      <c r="J118" s="9" t="str">
        <f>HYPERLINK("http://plants.ensembl.org/Oryza_sativa/Gene/Summary?db=otherfeatures;g=LOC_Os02g06910","LOC_Os02g06910")</f>
        <v>LOC_Os02g06910</v>
      </c>
      <c r="K118" s="9" t="str">
        <f>HYPERLINK("http://plants.ensembl.org/Zea_mays/Gene/Summary?db=otherfeatures;g=GRMZM2G028980","GRMZM2G028980")</f>
        <v>GRMZM2G028980</v>
      </c>
      <c r="L118" s="6"/>
      <c r="M118" t="s">
        <v>973</v>
      </c>
      <c r="N118" t="s">
        <v>973</v>
      </c>
      <c r="O118" t="s">
        <v>973</v>
      </c>
      <c r="P118">
        <v>1</v>
      </c>
      <c r="S118" t="s">
        <v>973</v>
      </c>
      <c r="T118" s="6"/>
      <c r="U118" s="11">
        <v>6.2073215416361265</v>
      </c>
      <c r="V118" s="11">
        <v>3.9597979704004134</v>
      </c>
      <c r="W118" s="11">
        <v>7.1181458144406111</v>
      </c>
      <c r="X118" s="11">
        <v>6.0082665081994824</v>
      </c>
      <c r="Y118" s="11">
        <v>6.7591793635312021</v>
      </c>
      <c r="Z118" s="11">
        <v>6.0429696658079326</v>
      </c>
      <c r="AA118" s="11">
        <v>6.8094586059438447</v>
      </c>
      <c r="AB118" s="11">
        <v>5.7808822336146406</v>
      </c>
      <c r="AC118" s="11">
        <v>6.5571348534670735</v>
      </c>
      <c r="AD118" s="11">
        <v>4.6220596309819815</v>
      </c>
      <c r="AE118" s="11">
        <v>6.8675822812925267</v>
      </c>
      <c r="AF118" s="11">
        <v>5.8926662613372915</v>
      </c>
      <c r="AG118" s="11">
        <v>7.3664638537149161</v>
      </c>
      <c r="AH118" s="11">
        <v>6.1219188752443996</v>
      </c>
      <c r="AI118" s="11">
        <v>6.9879980125914161</v>
      </c>
      <c r="AJ118" s="11">
        <v>5.741946906040023</v>
      </c>
      <c r="AK118" s="6"/>
      <c r="AL118" t="s">
        <v>1105</v>
      </c>
      <c r="AM118">
        <v>0</v>
      </c>
      <c r="AN118" s="6"/>
      <c r="AO118" s="20">
        <v>-0.2888</v>
      </c>
      <c r="AP118" s="20">
        <v>-0.28220000000000001</v>
      </c>
      <c r="AQ118" s="20">
        <v>0.25009999999999999</v>
      </c>
      <c r="AR118" s="20">
        <v>0.1368</v>
      </c>
      <c r="AS118" s="20">
        <v>-0.60750000000000004</v>
      </c>
      <c r="AT118" s="20">
        <v>-9.5899999999999999E-2</v>
      </c>
      <c r="AU118" s="20">
        <v>-0.18390000000000001</v>
      </c>
      <c r="AV118" s="20">
        <v>3.6499999999999998E-2</v>
      </c>
      <c r="AW118" s="6"/>
      <c r="AX118" s="18">
        <v>0.41139999999999999</v>
      </c>
      <c r="AY118" s="18">
        <v>0.58850000000000002</v>
      </c>
      <c r="AZ118" s="18">
        <v>0.44240000000000002</v>
      </c>
      <c r="BA118" s="18">
        <v>0.68959999999999999</v>
      </c>
      <c r="BB118" s="18">
        <v>6.1600000000000002E-2</v>
      </c>
      <c r="BC118" s="18">
        <v>0.77710000000000001</v>
      </c>
      <c r="BD118" s="18">
        <v>0.57169999999999999</v>
      </c>
      <c r="BE118" s="18">
        <v>0.91579999999999995</v>
      </c>
      <c r="BF118" s="13"/>
      <c r="BG118" t="s">
        <v>1111</v>
      </c>
      <c r="BH118" t="s">
        <v>1112</v>
      </c>
      <c r="BI118" t="s">
        <v>1113</v>
      </c>
      <c r="BJ118" t="s">
        <v>1238</v>
      </c>
      <c r="BK118" t="s">
        <v>1241</v>
      </c>
      <c r="BL118" t="s">
        <v>1116</v>
      </c>
      <c r="BM118" t="s">
        <v>1117</v>
      </c>
      <c r="BN118" s="13"/>
      <c r="BO118" t="s">
        <v>973</v>
      </c>
      <c r="BP118" t="s">
        <v>973</v>
      </c>
      <c r="BQ118" t="s">
        <v>973</v>
      </c>
      <c r="BR118" t="s">
        <v>973</v>
      </c>
    </row>
    <row r="119" spans="1:70" x14ac:dyDescent="0.25">
      <c r="A119" t="s">
        <v>843</v>
      </c>
      <c r="B119" t="s">
        <v>844</v>
      </c>
      <c r="C119" t="s">
        <v>22</v>
      </c>
      <c r="D119" s="6"/>
      <c r="E119" s="9" t="str">
        <f>HYPERLINK("http://plants.ensembl.org/Triticum_aestivum/Gene/Summary?g=TRIAE_CS42_7AS_TGACv1_570721_AA1839790","TRIAE_CS42_7AS_TGACv1_570721_AA1839790")</f>
        <v>TRIAE_CS42_7AS_TGACv1_570721_AA1839790</v>
      </c>
      <c r="F119" s="9" t="str">
        <f>HYPERLINK("http://mar2016-plants.ensembl.org/Triticum_aestivum/Gene/Summary?db=core;g=Traes_7AS_1C1077D77","Traes_7AS_1C1077D77")</f>
        <v>Traes_7AS_1C1077D77</v>
      </c>
      <c r="H119" s="8" t="str">
        <f>HYPERLINK("http://plants.ensembl.org/Brachypodium_distachyon/Gene/Summary?g=Bradi1g46602","Bradi1g46602")</f>
        <v>Bradi1g46602</v>
      </c>
      <c r="I119" s="8" t="str">
        <f>HYPERLINK("http://plants.ensembl.org/Arabidopsis_thaliana/Gene/Summary?g=AT1G19220","AT1G19220")</f>
        <v>AT1G19220</v>
      </c>
      <c r="J119" s="9" t="str">
        <f>HYPERLINK("http://plants.ensembl.org/Oryza_sativa/Gene/Summary?db=otherfeatures;g=LOC_Os06g09660","LOC_Os06g09660")</f>
        <v>LOC_Os06g09660</v>
      </c>
      <c r="L119" s="6"/>
      <c r="M119" t="s">
        <v>973</v>
      </c>
      <c r="N119" t="s">
        <v>973</v>
      </c>
      <c r="O119" t="s">
        <v>973</v>
      </c>
      <c r="P119">
        <v>1</v>
      </c>
      <c r="S119" t="s">
        <v>973</v>
      </c>
      <c r="T119" s="6"/>
      <c r="U119" s="11">
        <v>7.3741080420366671</v>
      </c>
      <c r="V119" s="11">
        <v>8.1132584088535982</v>
      </c>
      <c r="W119" s="11">
        <v>7.2430695469826407</v>
      </c>
      <c r="X119" s="11">
        <v>7.1284044229887913</v>
      </c>
      <c r="Y119" s="11">
        <v>7.3672306803039067</v>
      </c>
      <c r="Z119" s="11">
        <v>7.2861760726573532</v>
      </c>
      <c r="AA119" s="11">
        <v>7.2989130372464865</v>
      </c>
      <c r="AB119" s="11">
        <v>7.5003625610093803</v>
      </c>
      <c r="AC119" s="11">
        <v>7.9307115186091286</v>
      </c>
      <c r="AD119" s="11">
        <v>6.854461587700607</v>
      </c>
      <c r="AE119" s="11">
        <v>7.3651795554173756</v>
      </c>
      <c r="AF119" s="11">
        <v>7.1441555060212965</v>
      </c>
      <c r="AG119" s="11">
        <v>7.4328461356841489</v>
      </c>
      <c r="AH119" s="11">
        <v>6.9305914839704004</v>
      </c>
      <c r="AI119" s="11">
        <v>8.0869339329295027</v>
      </c>
      <c r="AJ119" s="11">
        <v>7.7625986343484463</v>
      </c>
      <c r="AK119" s="6"/>
      <c r="AL119" t="s">
        <v>1090</v>
      </c>
      <c r="AM119">
        <v>0</v>
      </c>
      <c r="AN119" s="6"/>
      <c r="AO119" s="20">
        <v>-0.66639999999999999</v>
      </c>
      <c r="AP119" s="20">
        <v>1.2309000000000001</v>
      </c>
      <c r="AQ119" s="20">
        <v>-0.1227</v>
      </c>
      <c r="AR119" s="20">
        <v>-1.4500000000000001E-2</v>
      </c>
      <c r="AS119" s="20">
        <v>-6.5699999999999995E-2</v>
      </c>
      <c r="AT119" s="20">
        <v>0.3503</v>
      </c>
      <c r="AU119" s="20">
        <v>-0.79300000000000004</v>
      </c>
      <c r="AV119" s="20">
        <v>-0.26329999999999998</v>
      </c>
      <c r="AW119" s="6"/>
      <c r="AX119" s="18">
        <v>7.2220000000000001E-3</v>
      </c>
      <c r="AY119" s="18">
        <v>4.9269999999999996E-6</v>
      </c>
      <c r="AZ119" s="18">
        <v>0.60440000000000005</v>
      </c>
      <c r="BA119" s="18">
        <v>0.95179999999999998</v>
      </c>
      <c r="BB119" s="18">
        <v>0.77980000000000005</v>
      </c>
      <c r="BC119" s="18">
        <v>0.14530000000000001</v>
      </c>
      <c r="BD119" s="18">
        <v>6.4990000000000002E-4</v>
      </c>
      <c r="BE119" s="18">
        <v>0.2631</v>
      </c>
      <c r="BF119" s="13"/>
      <c r="BG119" t="s">
        <v>1125</v>
      </c>
      <c r="BH119" t="s">
        <v>1179</v>
      </c>
      <c r="BI119" t="s">
        <v>1113</v>
      </c>
      <c r="BJ119" t="s">
        <v>1114</v>
      </c>
      <c r="BK119" t="s">
        <v>1182</v>
      </c>
      <c r="BL119" t="s">
        <v>1116</v>
      </c>
      <c r="BM119" t="s">
        <v>1117</v>
      </c>
      <c r="BN119" s="13"/>
      <c r="BO119" t="s">
        <v>973</v>
      </c>
      <c r="BP119" t="s">
        <v>973</v>
      </c>
      <c r="BQ119" t="s">
        <v>973</v>
      </c>
      <c r="BR119" t="s">
        <v>973</v>
      </c>
    </row>
    <row r="120" spans="1:70" x14ac:dyDescent="0.25">
      <c r="A120" t="s">
        <v>859</v>
      </c>
      <c r="B120" t="s">
        <v>860</v>
      </c>
      <c r="C120" t="s">
        <v>22</v>
      </c>
      <c r="D120" s="6"/>
      <c r="E120" s="9" t="str">
        <f>HYPERLINK("http://plants.ensembl.org/Triticum_aestivum/Gene/Summary?g=TRIAE_CS42_7AS_TGACv1_569633_AA1820700","TRIAE_CS42_7AS_TGACv1_569633_AA1820700")</f>
        <v>TRIAE_CS42_7AS_TGACv1_569633_AA1820700</v>
      </c>
      <c r="F120" s="9" t="str">
        <f>HYPERLINK("http://mar2016-plants.ensembl.org/Triticum_aestivum/Gene/Summary?db=core;g=Traes_7AS_582E3076D","Traes_7AS_582E3076D")</f>
        <v>Traes_7AS_582E3076D</v>
      </c>
      <c r="G120" t="s">
        <v>1035</v>
      </c>
      <c r="H120" s="8" t="str">
        <f>HYPERLINK("http://plants.ensembl.org/Brachypodium_distachyon/Gene/Summary?g=Bradi3g40437","Bradi3g40437")</f>
        <v>Bradi3g40437</v>
      </c>
      <c r="I120" s="1" t="s">
        <v>1051</v>
      </c>
      <c r="J120" s="9" t="str">
        <f>HYPERLINK("http://plants.ensembl.org/Oryza_sativa/Gene/Summary?db=otherfeatures;g=LOC_Os08g40900","LOC_Os08g40900")</f>
        <v>LOC_Os08g40900</v>
      </c>
      <c r="K120" s="9" t="str">
        <f>HYPERLINK("http://plants.ensembl.org/Zea_mays/Gene/Summary?db=otherfeatures;g=GRMZM2G169820","GRMZM2G169820")</f>
        <v>GRMZM2G169820</v>
      </c>
      <c r="L120" s="6"/>
      <c r="M120" t="s">
        <v>973</v>
      </c>
      <c r="N120" t="s">
        <v>973</v>
      </c>
      <c r="O120" t="s">
        <v>973</v>
      </c>
      <c r="P120">
        <v>1</v>
      </c>
      <c r="S120" t="s">
        <v>973</v>
      </c>
      <c r="T120" s="6"/>
      <c r="U120" s="11">
        <v>8.7838212327862415</v>
      </c>
      <c r="V120" s="11">
        <v>7.5132404314441272</v>
      </c>
      <c r="W120" s="11">
        <v>8.8653200411357336</v>
      </c>
      <c r="X120" s="11">
        <v>8.2697517894941761</v>
      </c>
      <c r="Y120" s="11">
        <v>8.4553006404929576</v>
      </c>
      <c r="Z120" s="11">
        <v>7.7552158560266671</v>
      </c>
      <c r="AA120" s="11">
        <v>8.6297469935694568</v>
      </c>
      <c r="AB120" s="11">
        <v>8.5808719515549683</v>
      </c>
      <c r="AC120" s="11">
        <v>9.9675595342973864</v>
      </c>
      <c r="AD120" s="11">
        <v>9.2634540350567658</v>
      </c>
      <c r="AE120" s="11">
        <v>9.2182789877821172</v>
      </c>
      <c r="AF120" s="11">
        <v>9.018540616527547</v>
      </c>
      <c r="AG120" s="11">
        <v>9.4172916390299548</v>
      </c>
      <c r="AH120" s="11">
        <v>8.7808380631104157</v>
      </c>
      <c r="AI120" s="11">
        <v>9.6239795558109975</v>
      </c>
      <c r="AJ120" s="11">
        <v>9.0362554087534761</v>
      </c>
      <c r="AK120" s="6"/>
      <c r="AL120" t="s">
        <v>1079</v>
      </c>
      <c r="AM120">
        <v>0</v>
      </c>
      <c r="AN120" s="6"/>
      <c r="AO120" s="20">
        <v>-1.1943999999999999</v>
      </c>
      <c r="AP120" s="20">
        <v>-1.8349</v>
      </c>
      <c r="AQ120" s="20">
        <v>-0.35389999999999999</v>
      </c>
      <c r="AR120" s="20">
        <v>-0.74809999999999999</v>
      </c>
      <c r="AS120" s="20">
        <v>-0.96230000000000004</v>
      </c>
      <c r="AT120" s="20">
        <v>-1.0313000000000001</v>
      </c>
      <c r="AU120" s="20">
        <v>-0.99639999999999995</v>
      </c>
      <c r="AV120" s="20">
        <v>-0.45600000000000002</v>
      </c>
      <c r="AW120" s="6"/>
      <c r="AX120" s="18">
        <v>2.5530000000000001E-8</v>
      </c>
      <c r="AY120" s="18">
        <v>1.039E-13</v>
      </c>
      <c r="AZ120" s="18">
        <v>9.0719999999999995E-2</v>
      </c>
      <c r="BA120" s="18">
        <v>4.1330000000000002E-4</v>
      </c>
      <c r="BB120" s="18">
        <v>4.5680000000000001E-6</v>
      </c>
      <c r="BC120" s="18">
        <v>1.387E-6</v>
      </c>
      <c r="BD120" s="18">
        <v>1.801E-6</v>
      </c>
      <c r="BE120" s="18">
        <v>3.058E-2</v>
      </c>
      <c r="BF120" s="13"/>
      <c r="BG120" t="s">
        <v>1295</v>
      </c>
      <c r="BH120" t="s">
        <v>1130</v>
      </c>
      <c r="BI120" t="s">
        <v>1113</v>
      </c>
      <c r="BJ120" t="s">
        <v>1148</v>
      </c>
      <c r="BK120" t="s">
        <v>1115</v>
      </c>
      <c r="BL120" t="s">
        <v>1116</v>
      </c>
      <c r="BM120" t="s">
        <v>1117</v>
      </c>
      <c r="BN120" s="13"/>
      <c r="BO120" t="s">
        <v>973</v>
      </c>
      <c r="BP120" t="s">
        <v>973</v>
      </c>
      <c r="BQ120" t="s">
        <v>973</v>
      </c>
      <c r="BR120" t="s">
        <v>973</v>
      </c>
    </row>
    <row r="121" spans="1:70" x14ac:dyDescent="0.25">
      <c r="A121" t="s">
        <v>872</v>
      </c>
      <c r="B121" t="s">
        <v>873</v>
      </c>
      <c r="C121" t="s">
        <v>22</v>
      </c>
      <c r="D121" s="6"/>
      <c r="E121" s="9" t="str">
        <f>HYPERLINK("http://plants.ensembl.org/Triticum_aestivum/Gene/Summary?g=TRIAE_CS42_7AL_TGACv1_556578_AA1766080","TRIAE_CS42_7AL_TGACv1_556578_AA1766080")</f>
        <v>TRIAE_CS42_7AL_TGACv1_556578_AA1766080</v>
      </c>
      <c r="F121" s="9" t="str">
        <f>HYPERLINK("http://mar2016-plants.ensembl.org/Triticum_aestivum/Gene/Summary?db=core;g=Traes_2DL_117603113","Traes_2DL_117603113")</f>
        <v>Traes_2DL_117603113</v>
      </c>
      <c r="G121" t="s">
        <v>1044</v>
      </c>
      <c r="H121" s="1" t="s">
        <v>1051</v>
      </c>
      <c r="I121" s="1" t="s">
        <v>1051</v>
      </c>
      <c r="J121" s="9" t="str">
        <f>HYPERLINK("http://plants.ensembl.org/Oryza_sativa/Gene/Summary?g=OS06G0702600","OS06G0702600")</f>
        <v>OS06G0702600</v>
      </c>
      <c r="K121" s="9" t="str">
        <f>HYPERLINK("http://plants.ensembl.org/Zea_mays/Gene/Summary?db=otherfeatures;g=GRMZM2G317900","GRMZM2G317900")</f>
        <v>GRMZM2G317900</v>
      </c>
      <c r="L121" s="6"/>
      <c r="M121" t="s">
        <v>973</v>
      </c>
      <c r="N121" t="s">
        <v>973</v>
      </c>
      <c r="O121" t="s">
        <v>973</v>
      </c>
      <c r="P121">
        <v>1</v>
      </c>
      <c r="S121" t="s">
        <v>973</v>
      </c>
      <c r="T121" s="6"/>
      <c r="U121" s="11">
        <v>9.9603606299143497</v>
      </c>
      <c r="V121" s="11">
        <v>9.6555114632420782</v>
      </c>
      <c r="W121" s="11">
        <v>8.1823193611108476</v>
      </c>
      <c r="X121" s="11">
        <v>8.8191928902873613</v>
      </c>
      <c r="Y121" s="11">
        <v>8.3292251256721581</v>
      </c>
      <c r="Z121" s="11">
        <v>8.2514071376109399</v>
      </c>
      <c r="AA121" s="11">
        <v>7.0476598005991944</v>
      </c>
      <c r="AB121" s="11">
        <v>8.5597886476602927</v>
      </c>
      <c r="AC121" s="11">
        <v>7.1295055870105983</v>
      </c>
      <c r="AD121" s="11">
        <v>6.6961236795034278</v>
      </c>
      <c r="AE121" s="11">
        <v>5.9358148773818087</v>
      </c>
      <c r="AF121" s="11">
        <v>6.5113747367505823</v>
      </c>
      <c r="AG121" s="11">
        <v>6.9552469233312442</v>
      </c>
      <c r="AH121" s="11">
        <v>6.2880884315136525</v>
      </c>
      <c r="AI121" s="11">
        <v>6.5794713253832908</v>
      </c>
      <c r="AJ121" s="11">
        <v>7.2115259128125926</v>
      </c>
      <c r="AK121" s="6"/>
      <c r="AL121" t="s">
        <v>1077</v>
      </c>
      <c r="AM121">
        <v>39</v>
      </c>
      <c r="AN121" s="6"/>
      <c r="AO121" s="20">
        <v>2.8250999999999999</v>
      </c>
      <c r="AP121" s="20">
        <v>2.9106000000000001</v>
      </c>
      <c r="AQ121" s="20">
        <v>2.2488000000000001</v>
      </c>
      <c r="AR121" s="20">
        <v>2.3041</v>
      </c>
      <c r="AS121" s="20">
        <v>1.3735999999999999</v>
      </c>
      <c r="AT121" s="20">
        <v>1.9595</v>
      </c>
      <c r="AU121" s="20">
        <v>0.46710000000000002</v>
      </c>
      <c r="AV121" s="20">
        <v>1.3473999999999999</v>
      </c>
      <c r="AW121" s="6"/>
      <c r="AX121" s="18">
        <v>9.9030000000000004E-20</v>
      </c>
      <c r="AY121" s="18">
        <v>1.9439999999999998E-18</v>
      </c>
      <c r="AZ121" s="18">
        <v>1.5339999999999999E-12</v>
      </c>
      <c r="BA121" s="18">
        <v>2.0529999999999999E-13</v>
      </c>
      <c r="BB121" s="18">
        <v>8.5930000000000006E-6</v>
      </c>
      <c r="BC121" s="18">
        <v>5.8029999999999995E-10</v>
      </c>
      <c r="BD121" s="18">
        <v>0.1381</v>
      </c>
      <c r="BE121" s="18">
        <v>1.3149999999999999E-5</v>
      </c>
      <c r="BF121" s="13"/>
      <c r="BG121" t="s">
        <v>1190</v>
      </c>
      <c r="BH121" t="s">
        <v>1192</v>
      </c>
      <c r="BI121" t="s">
        <v>1294</v>
      </c>
      <c r="BJ121" t="s">
        <v>1133</v>
      </c>
      <c r="BK121" t="s">
        <v>1115</v>
      </c>
      <c r="BL121" t="s">
        <v>1149</v>
      </c>
      <c r="BM121" t="s">
        <v>1166</v>
      </c>
      <c r="BN121" s="13"/>
      <c r="BO121" t="s">
        <v>973</v>
      </c>
      <c r="BP121" t="s">
        <v>973</v>
      </c>
      <c r="BQ121" t="s">
        <v>973</v>
      </c>
      <c r="BR121" t="s">
        <v>973</v>
      </c>
    </row>
    <row r="122" spans="1:70" x14ac:dyDescent="0.25">
      <c r="A122" t="s">
        <v>876</v>
      </c>
      <c r="B122" t="s">
        <v>877</v>
      </c>
      <c r="C122" t="s">
        <v>22</v>
      </c>
      <c r="D122" s="6"/>
      <c r="E122" s="9" t="str">
        <f>HYPERLINK("http://plants.ensembl.org/Triticum_aestivum/Gene/Summary?g=TRIAE_CS42_7AL_TGACv1_558468_AA1793590","TRIAE_CS42_7AL_TGACv1_558468_AA1793590")</f>
        <v>TRIAE_CS42_7AL_TGACv1_558468_AA1793590</v>
      </c>
      <c r="F122" s="9" t="str">
        <f>HYPERLINK("http://mar2016-plants.ensembl.org/Triticum_aestivum/Gene/Summary?db=core;g=Traes_7AL_E3ADC8C38","Traes_7AL_E3ADC8C38")</f>
        <v>Traes_7AL_E3ADC8C38</v>
      </c>
      <c r="H122" s="8" t="str">
        <f>HYPERLINK("http://plants.ensembl.org/Brachypodium_distachyon/Gene/Summary?g=Bradi1g33160","Bradi1g33160")</f>
        <v>Bradi1g33160</v>
      </c>
      <c r="I122" s="1" t="s">
        <v>1051</v>
      </c>
      <c r="J122" s="9" t="str">
        <f>HYPERLINK("http://plants.ensembl.org/Oryza_sativa/Gene/Summary?db=otherfeatures;g=LOC_Os06g47150","LOC_Os06g47150")</f>
        <v>LOC_Os06g47150</v>
      </c>
      <c r="L122" s="6"/>
      <c r="M122" s="1" t="s">
        <v>973</v>
      </c>
      <c r="N122" s="1" t="s">
        <v>973</v>
      </c>
      <c r="O122" s="1" t="s">
        <v>973</v>
      </c>
      <c r="P122" s="1">
        <v>1</v>
      </c>
      <c r="Q122" s="1" t="s">
        <v>973</v>
      </c>
      <c r="R122" s="1" t="s">
        <v>973</v>
      </c>
      <c r="S122" s="1"/>
      <c r="T122" s="6"/>
      <c r="U122" s="11">
        <v>6.2243290982558719</v>
      </c>
      <c r="V122" s="11">
        <v>5.887160489226801</v>
      </c>
      <c r="W122" s="11">
        <v>6.9026315708089641</v>
      </c>
      <c r="X122" s="11">
        <v>6.9556227871249963</v>
      </c>
      <c r="Y122" s="11">
        <v>7.1058435727413496</v>
      </c>
      <c r="Z122" s="11">
        <v>6.8923606658498313</v>
      </c>
      <c r="AA122" s="11">
        <v>7.6611412715772644</v>
      </c>
      <c r="AB122" s="11">
        <v>6.6508956898482472</v>
      </c>
      <c r="AC122" s="11">
        <v>6.903049119215976</v>
      </c>
      <c r="AD122" s="11">
        <v>7.2449894619805013</v>
      </c>
      <c r="AE122" s="11">
        <v>7.324672614511476</v>
      </c>
      <c r="AF122" s="11">
        <v>7.2901647991118237</v>
      </c>
      <c r="AG122" s="11">
        <v>7.3859130054992583</v>
      </c>
      <c r="AH122" s="11">
        <v>7.0922634750871483</v>
      </c>
      <c r="AI122" s="11">
        <v>7.5356685967705053</v>
      </c>
      <c r="AJ122" s="11">
        <v>6.8095362072237471</v>
      </c>
      <c r="AK122" s="6"/>
      <c r="AL122" t="s">
        <v>1095</v>
      </c>
      <c r="AM122">
        <v>0</v>
      </c>
      <c r="AN122" s="6"/>
      <c r="AO122" s="20">
        <v>-0.64280000000000004</v>
      </c>
      <c r="AP122" s="20">
        <v>-1.0608</v>
      </c>
      <c r="AQ122" s="20">
        <v>-0.4229</v>
      </c>
      <c r="AR122" s="20">
        <v>-0.34360000000000002</v>
      </c>
      <c r="AS122" s="20">
        <v>-0.28039999999999998</v>
      </c>
      <c r="AT122" s="20">
        <v>-0.19359999999999999</v>
      </c>
      <c r="AU122" s="20">
        <v>0.123</v>
      </c>
      <c r="AV122" s="20">
        <v>-0.15989999999999999</v>
      </c>
      <c r="AW122" s="6"/>
      <c r="AX122" s="18">
        <v>2.232E-2</v>
      </c>
      <c r="AY122" s="18">
        <v>1.023E-3</v>
      </c>
      <c r="AZ122" s="18">
        <v>9.1630000000000003E-2</v>
      </c>
      <c r="BA122" s="18">
        <v>0.17369999999999999</v>
      </c>
      <c r="BB122" s="18">
        <v>0.25950000000000001</v>
      </c>
      <c r="BC122" s="18">
        <v>0.44450000000000001</v>
      </c>
      <c r="BD122" s="18">
        <v>0.61599999999999999</v>
      </c>
      <c r="BE122" s="18">
        <v>0.53480000000000005</v>
      </c>
      <c r="BF122" s="13"/>
      <c r="BG122" t="s">
        <v>1128</v>
      </c>
      <c r="BH122" t="s">
        <v>1216</v>
      </c>
      <c r="BI122" t="s">
        <v>1113</v>
      </c>
      <c r="BJ122" t="s">
        <v>1217</v>
      </c>
      <c r="BK122" t="s">
        <v>1115</v>
      </c>
      <c r="BL122" t="s">
        <v>1116</v>
      </c>
      <c r="BM122" t="s">
        <v>1117</v>
      </c>
      <c r="BN122" s="13"/>
      <c r="BO122" t="s">
        <v>973</v>
      </c>
      <c r="BP122" t="s">
        <v>973</v>
      </c>
      <c r="BQ122" t="s">
        <v>973</v>
      </c>
      <c r="BR122" t="s">
        <v>973</v>
      </c>
    </row>
    <row r="123" spans="1:70" x14ac:dyDescent="0.25">
      <c r="A123" t="s">
        <v>878</v>
      </c>
      <c r="B123" t="s">
        <v>879</v>
      </c>
      <c r="C123" t="s">
        <v>22</v>
      </c>
      <c r="D123" s="6"/>
      <c r="E123" s="9" t="str">
        <f>HYPERLINK("http://plants.ensembl.org/Triticum_aestivum/Gene/Summary?g=TRIAE_CS42_7AL_TGACv1_557022_AA1775320","TRIAE_CS42_7AL_TGACv1_557022_AA1775320")</f>
        <v>TRIAE_CS42_7AL_TGACv1_557022_AA1775320</v>
      </c>
      <c r="F123" s="9" t="str">
        <f>HYPERLINK("http://mar2016-plants.ensembl.org/Triticum_aestivum/Gene/Summary?db=core;g=Traes_7AL_1415D04BF","Traes_7AL_1415D04BF")</f>
        <v>Traes_7AL_1415D04BF</v>
      </c>
      <c r="G123" t="s">
        <v>1012</v>
      </c>
      <c r="H123" s="8" t="str">
        <f>HYPERLINK("http://plants.ensembl.org/Brachypodium_distachyon/Gene/Summary?g=Bradi1g32547","Bradi1g32547")</f>
        <v>Bradi1g32547</v>
      </c>
      <c r="I123" s="8" t="str">
        <f>HYPERLINK("http://plants.ensembl.org/Arabidopsis_thaliana/Gene/Summary?g=AT5G37020","AT5G37020")</f>
        <v>AT5G37020</v>
      </c>
      <c r="J123" s="9" t="str">
        <f>HYPERLINK("http://plants.ensembl.org/Oryza_sativa/Gene/Summary?db=otherfeatures;g=LOC_Os06g46410","LOC_Os06g46410")</f>
        <v>LOC_Os06g46410</v>
      </c>
      <c r="K123" s="9" t="str">
        <f>HYPERLINK("http://plants.ensembl.org/Zea_mays/Gene/Summary?db=otherfeatures;g=GRMZM2G089640","GRMZM2G089640")</f>
        <v>GRMZM2G089640</v>
      </c>
      <c r="L123" s="6"/>
      <c r="M123" t="s">
        <v>973</v>
      </c>
      <c r="N123" t="s">
        <v>973</v>
      </c>
      <c r="O123" t="s">
        <v>973</v>
      </c>
      <c r="P123">
        <v>1</v>
      </c>
      <c r="S123" t="s">
        <v>973</v>
      </c>
      <c r="T123" s="6"/>
      <c r="U123" s="11">
        <v>8.3680315962829273</v>
      </c>
      <c r="V123" s="11">
        <v>6.994055437696499</v>
      </c>
      <c r="W123" s="11">
        <v>8.698258305542387</v>
      </c>
      <c r="X123" s="11">
        <v>8.5122797011248732</v>
      </c>
      <c r="Y123" s="11">
        <v>8.4904468521933296</v>
      </c>
      <c r="Z123" s="11">
        <v>8.5290657020431855</v>
      </c>
      <c r="AA123" s="11">
        <v>8.8616677969722009</v>
      </c>
      <c r="AB123" s="11">
        <v>8.5506867680211727</v>
      </c>
      <c r="AC123" s="11">
        <v>9.4920630065448428</v>
      </c>
      <c r="AD123" s="11">
        <v>9.065781598055267</v>
      </c>
      <c r="AE123" s="11">
        <v>8.9655146678567981</v>
      </c>
      <c r="AF123" s="11">
        <v>9.0154407929961096</v>
      </c>
      <c r="AG123" s="11">
        <v>9.3242977280090908</v>
      </c>
      <c r="AH123" s="11">
        <v>9.1148684520290804</v>
      </c>
      <c r="AI123" s="11">
        <v>9.3524572260177923</v>
      </c>
      <c r="AJ123" s="11">
        <v>9.0427863128871397</v>
      </c>
      <c r="AK123" s="6"/>
      <c r="AL123" t="s">
        <v>1079</v>
      </c>
      <c r="AM123">
        <v>0</v>
      </c>
      <c r="AN123" s="6"/>
      <c r="AO123" s="20">
        <v>-1.1528</v>
      </c>
      <c r="AP123" s="20">
        <v>-2.0234999999999999</v>
      </c>
      <c r="AQ123" s="20">
        <v>-0.26860000000000001</v>
      </c>
      <c r="AR123" s="20">
        <v>-0.50660000000000005</v>
      </c>
      <c r="AS123" s="20">
        <v>-0.8347</v>
      </c>
      <c r="AT123" s="20">
        <v>-0.59019999999999995</v>
      </c>
      <c r="AU123" s="20">
        <v>-0.4909</v>
      </c>
      <c r="AV123" s="20">
        <v>-0.49299999999999999</v>
      </c>
      <c r="AW123" s="6"/>
      <c r="AX123" s="18">
        <v>1.289E-11</v>
      </c>
      <c r="AY123" s="18">
        <v>7.5499999999999994E-21</v>
      </c>
      <c r="AZ123" s="18">
        <v>9.4820000000000002E-2</v>
      </c>
      <c r="BA123" s="18">
        <v>1.8029999999999999E-3</v>
      </c>
      <c r="BB123" s="18">
        <v>2.0690000000000001E-7</v>
      </c>
      <c r="BC123" s="18">
        <v>2.587E-4</v>
      </c>
      <c r="BD123" s="18">
        <v>2.0209999999999998E-3</v>
      </c>
      <c r="BE123" s="18">
        <v>2.3530000000000001E-3</v>
      </c>
      <c r="BF123" s="13"/>
      <c r="BG123" t="s">
        <v>1164</v>
      </c>
      <c r="BH123" t="s">
        <v>1157</v>
      </c>
      <c r="BI123" t="s">
        <v>1113</v>
      </c>
      <c r="BJ123" t="s">
        <v>1148</v>
      </c>
      <c r="BK123" t="s">
        <v>1115</v>
      </c>
      <c r="BL123" t="s">
        <v>1116</v>
      </c>
      <c r="BM123" t="s">
        <v>1117</v>
      </c>
      <c r="BN123" s="13"/>
      <c r="BO123" t="s">
        <v>973</v>
      </c>
      <c r="BP123" t="s">
        <v>973</v>
      </c>
      <c r="BQ123" t="s">
        <v>973</v>
      </c>
      <c r="BR123" t="s">
        <v>973</v>
      </c>
    </row>
    <row r="124" spans="1:70" x14ac:dyDescent="0.25">
      <c r="A124" t="s">
        <v>896</v>
      </c>
      <c r="B124" t="s">
        <v>844</v>
      </c>
      <c r="C124" t="s">
        <v>22</v>
      </c>
      <c r="D124" s="6"/>
      <c r="E124" s="9" t="str">
        <f>HYPERLINK("http://plants.ensembl.org/Triticum_aestivum/Gene/Summary?g=TRIAE_CS42_U_TGACv1_640742_AA2072180","TRIAE_CS42_U_TGACv1_640742_AA2072180")</f>
        <v>TRIAE_CS42_U_TGACv1_640742_AA2072180</v>
      </c>
      <c r="F124" s="9" t="str">
        <f>HYPERLINK("http://mar2016-plants.ensembl.org/Triticum_aestivum/Gene/Summary?db=core;g=Traes_7BS_3FD792335","Traes_7BS_3FD792335")</f>
        <v>Traes_7BS_3FD792335</v>
      </c>
      <c r="G124" t="s">
        <v>1041</v>
      </c>
      <c r="H124" s="8" t="str">
        <f>HYPERLINK("http://plants.ensembl.org/Brachypodium_distachyon/Gene/Summary?g=Bradi1g46602","Bradi1g46602")</f>
        <v>Bradi1g46602</v>
      </c>
      <c r="I124" s="1" t="s">
        <v>1051</v>
      </c>
      <c r="J124" s="9" t="str">
        <f>HYPERLINK("http://plants.ensembl.org/Oryza_sativa/Gene/Summary?db=otherfeatures;g=LOC_Os06g09660","LOC_Os06g09660")</f>
        <v>LOC_Os06g09660</v>
      </c>
      <c r="K124" s="9" t="str">
        <f>HYPERLINK("http://plants.ensembl.org/Zea_mays/Gene/Summary?db=otherfeatures;g=GRMZM2G160005","GRMZM2G160005")</f>
        <v>GRMZM2G160005</v>
      </c>
      <c r="L124" s="6"/>
      <c r="M124" t="s">
        <v>973</v>
      </c>
      <c r="N124" t="s">
        <v>973</v>
      </c>
      <c r="O124" t="s">
        <v>973</v>
      </c>
      <c r="P124">
        <v>1</v>
      </c>
      <c r="S124" t="s">
        <v>973</v>
      </c>
      <c r="T124" s="6"/>
      <c r="U124" s="11">
        <v>8.0369151961742009</v>
      </c>
      <c r="V124" s="11">
        <v>9.1247094736624721</v>
      </c>
      <c r="W124" s="11">
        <v>7.2320243214110356</v>
      </c>
      <c r="X124" s="11">
        <v>7.586077653600773</v>
      </c>
      <c r="Y124" s="11">
        <v>7.2876363571358072</v>
      </c>
      <c r="Z124" s="11">
        <v>7.5505223486980215</v>
      </c>
      <c r="AA124" s="11">
        <v>6.7872657181460427</v>
      </c>
      <c r="AB124" s="11">
        <v>7.7090019943108627</v>
      </c>
      <c r="AC124" s="11">
        <v>7.7431825932478331</v>
      </c>
      <c r="AD124" s="11">
        <v>6.5573590298128668</v>
      </c>
      <c r="AE124" s="11">
        <v>6.8143568719651499</v>
      </c>
      <c r="AF124" s="11">
        <v>7.0196678182875463</v>
      </c>
      <c r="AG124" s="11">
        <v>7.2831846838587406</v>
      </c>
      <c r="AH124" s="11">
        <v>6.9396665765016126</v>
      </c>
      <c r="AI124" s="11">
        <v>7.6343577852129849</v>
      </c>
      <c r="AJ124" s="11">
        <v>7.5942954884400615</v>
      </c>
      <c r="AK124" s="6"/>
      <c r="AL124" t="s">
        <v>1090</v>
      </c>
      <c r="AM124">
        <v>0</v>
      </c>
      <c r="AN124" s="6"/>
      <c r="AO124" s="20">
        <v>0.27160000000000001</v>
      </c>
      <c r="AP124" s="20">
        <v>2.5141</v>
      </c>
      <c r="AQ124" s="20">
        <v>0.4163</v>
      </c>
      <c r="AR124" s="20">
        <v>0.57179999999999997</v>
      </c>
      <c r="AS124" s="20">
        <v>4.1999999999999997E-3</v>
      </c>
      <c r="AT124" s="20">
        <v>0.60760000000000003</v>
      </c>
      <c r="AU124" s="20">
        <v>-0.8548</v>
      </c>
      <c r="AV124" s="20">
        <v>0.1149</v>
      </c>
      <c r="AW124" s="6"/>
      <c r="AX124" s="18">
        <v>0.33600000000000002</v>
      </c>
      <c r="AY124" s="18">
        <v>1.1829999999999999E-16</v>
      </c>
      <c r="AZ124" s="18">
        <v>0.13850000000000001</v>
      </c>
      <c r="BA124" s="18">
        <v>4.1320000000000003E-2</v>
      </c>
      <c r="BB124" s="18">
        <v>0.98809999999999998</v>
      </c>
      <c r="BC124" s="18">
        <v>3.0210000000000001E-2</v>
      </c>
      <c r="BD124" s="18">
        <v>2.117E-3</v>
      </c>
      <c r="BE124" s="18">
        <v>0.67779999999999996</v>
      </c>
      <c r="BF124" s="13"/>
      <c r="BG124" t="s">
        <v>1125</v>
      </c>
      <c r="BH124" t="s">
        <v>1186</v>
      </c>
      <c r="BI124" t="s">
        <v>1113</v>
      </c>
      <c r="BJ124" t="s">
        <v>1127</v>
      </c>
      <c r="BK124" t="s">
        <v>1182</v>
      </c>
      <c r="BL124" t="s">
        <v>1116</v>
      </c>
      <c r="BM124" t="s">
        <v>1117</v>
      </c>
      <c r="BN124" s="13"/>
      <c r="BO124" t="s">
        <v>973</v>
      </c>
      <c r="BP124" t="s">
        <v>973</v>
      </c>
      <c r="BQ124" t="s">
        <v>973</v>
      </c>
      <c r="BR124" t="s">
        <v>973</v>
      </c>
    </row>
    <row r="125" spans="1:70" x14ac:dyDescent="0.25">
      <c r="A125" t="s">
        <v>910</v>
      </c>
      <c r="B125" t="s">
        <v>911</v>
      </c>
      <c r="C125" t="s">
        <v>22</v>
      </c>
      <c r="D125" s="6"/>
      <c r="E125" s="9" t="str">
        <f>HYPERLINK("http://plants.ensembl.org/Triticum_aestivum/Gene/Summary?g=TRIAE_CS42_7BS_TGACv1_591833_AA1923070","TRIAE_CS42_7BS_TGACv1_591833_AA1923070")</f>
        <v>TRIAE_CS42_7BS_TGACv1_591833_AA1923070</v>
      </c>
      <c r="F125" s="9" t="str">
        <f>HYPERLINK("http://mar2016-plants.ensembl.org/Triticum_aestivum/Gene/Summary?db=core;g=Traes_7BS_F44A273F8","Traes_7BS_F44A273F8")</f>
        <v>Traes_7BS_F44A273F8</v>
      </c>
      <c r="G125" t="s">
        <v>1035</v>
      </c>
      <c r="H125" s="8" t="str">
        <f>HYPERLINK("http://plants.ensembl.org/Brachypodium_distachyon/Gene/Summary?g=Bradi3g40437","Bradi3g40437")</f>
        <v>Bradi3g40437</v>
      </c>
      <c r="I125" s="1" t="s">
        <v>1051</v>
      </c>
      <c r="J125" s="9" t="str">
        <f>HYPERLINK("http://plants.ensembl.org/Oryza_sativa/Gene/Summary?db=otherfeatures;g=LOC_Os08g40900","LOC_Os08g40900")</f>
        <v>LOC_Os08g40900</v>
      </c>
      <c r="K125" s="9" t="str">
        <f>HYPERLINK("http://plants.ensembl.org/Zea_mays/Gene/Summary?db=otherfeatures;g=GRMZM2G169820","GRMZM2G169820")</f>
        <v>GRMZM2G169820</v>
      </c>
      <c r="L125" s="6"/>
      <c r="M125" t="s">
        <v>973</v>
      </c>
      <c r="N125" t="s">
        <v>973</v>
      </c>
      <c r="O125" t="s">
        <v>973</v>
      </c>
      <c r="P125">
        <v>1</v>
      </c>
      <c r="S125" t="s">
        <v>973</v>
      </c>
      <c r="T125" s="6"/>
      <c r="U125" s="11">
        <v>8.1438418441218943</v>
      </c>
      <c r="V125" s="11">
        <v>6.7177586646200593</v>
      </c>
      <c r="W125" s="11">
        <v>8.59823380295866</v>
      </c>
      <c r="X125" s="11">
        <v>7.7358366945757586</v>
      </c>
      <c r="Y125" s="11">
        <v>8.7818162761134406</v>
      </c>
      <c r="Z125" s="11">
        <v>7.5405034069637624</v>
      </c>
      <c r="AA125" s="11">
        <v>8.9531975189284285</v>
      </c>
      <c r="AB125" s="11">
        <v>8.1808602917904079</v>
      </c>
      <c r="AC125" s="11">
        <v>9.5373997454217605</v>
      </c>
      <c r="AD125" s="11">
        <v>8.3226717927996763</v>
      </c>
      <c r="AE125" s="11">
        <v>9.0438255818592133</v>
      </c>
      <c r="AF125" s="11">
        <v>8.5016306159830872</v>
      </c>
      <c r="AG125" s="11">
        <v>9.4245008488728228</v>
      </c>
      <c r="AH125" s="11">
        <v>8.3483225789594275</v>
      </c>
      <c r="AI125" s="11">
        <v>9.9284809688266229</v>
      </c>
      <c r="AJ125" s="11">
        <v>8.7612021510923981</v>
      </c>
      <c r="AK125" s="6"/>
      <c r="AL125" t="s">
        <v>1105</v>
      </c>
      <c r="AM125">
        <v>0</v>
      </c>
      <c r="AN125" s="6"/>
      <c r="AO125" s="20">
        <v>-1.3907</v>
      </c>
      <c r="AP125" s="20">
        <v>-1.6216999999999999</v>
      </c>
      <c r="AQ125" s="20">
        <v>-0.44640000000000002</v>
      </c>
      <c r="AR125" s="20">
        <v>-0.76639999999999997</v>
      </c>
      <c r="AS125" s="20">
        <v>-0.64149999999999996</v>
      </c>
      <c r="AT125" s="20">
        <v>-0.81640000000000001</v>
      </c>
      <c r="AU125" s="20">
        <v>-0.97519999999999996</v>
      </c>
      <c r="AV125" s="20">
        <v>-0.58089999999999997</v>
      </c>
      <c r="AW125" s="6"/>
      <c r="AX125" s="18">
        <v>5.292E-8</v>
      </c>
      <c r="AY125" s="18">
        <v>6.2320000000000005E-8</v>
      </c>
      <c r="AZ125" s="18">
        <v>7.1459999999999996E-2</v>
      </c>
      <c r="BA125" s="18">
        <v>2.3440000000000002E-3</v>
      </c>
      <c r="BB125" s="18">
        <v>9.3460000000000001E-3</v>
      </c>
      <c r="BC125" s="18">
        <v>1.222E-3</v>
      </c>
      <c r="BD125" s="18">
        <v>7.2509999999999995E-5</v>
      </c>
      <c r="BE125" s="18">
        <v>2.0060000000000001E-2</v>
      </c>
      <c r="BF125" s="13"/>
      <c r="BG125" t="s">
        <v>1164</v>
      </c>
      <c r="BH125" t="s">
        <v>1130</v>
      </c>
      <c r="BI125" t="s">
        <v>1113</v>
      </c>
      <c r="BJ125" t="s">
        <v>1359</v>
      </c>
      <c r="BK125" t="s">
        <v>1247</v>
      </c>
      <c r="BL125" t="s">
        <v>1116</v>
      </c>
      <c r="BM125" t="s">
        <v>1117</v>
      </c>
      <c r="BN125" s="13"/>
      <c r="BO125" t="s">
        <v>973</v>
      </c>
      <c r="BP125" t="s">
        <v>973</v>
      </c>
      <c r="BQ125" t="s">
        <v>973</v>
      </c>
      <c r="BR125" t="s">
        <v>973</v>
      </c>
    </row>
    <row r="126" spans="1:70" x14ac:dyDescent="0.25">
      <c r="A126" t="s">
        <v>921</v>
      </c>
      <c r="B126" t="s">
        <v>922</v>
      </c>
      <c r="C126" t="s">
        <v>22</v>
      </c>
      <c r="D126" s="6"/>
      <c r="E126" s="9" t="str">
        <f>HYPERLINK("http://plants.ensembl.org/Triticum_aestivum/Gene/Summary?g=TRIAE_CS42_7BL_TGACv1_576831_AA1856500","TRIAE_CS42_7BL_TGACv1_576831_AA1856500")</f>
        <v>TRIAE_CS42_7BL_TGACv1_576831_AA1856500</v>
      </c>
      <c r="F126" s="9" t="str">
        <f>HYPERLINK("http://mar2016-plants.ensembl.org/Triticum_aestivum/Gene/Summary?db=core;g=Traes_7BL_9D7867AB8","Traes_7BL_9D7867AB8")</f>
        <v>Traes_7BL_9D7867AB8</v>
      </c>
      <c r="G126" t="s">
        <v>1044</v>
      </c>
      <c r="H126" s="1" t="s">
        <v>1051</v>
      </c>
      <c r="I126" s="1" t="s">
        <v>1051</v>
      </c>
      <c r="J126" s="9" t="str">
        <f>HYPERLINK("http://plants.ensembl.org/Oryza_sativa/Gene/Summary?g=OS06G0702600","OS06G0702600")</f>
        <v>OS06G0702600</v>
      </c>
      <c r="K126" s="9" t="str">
        <f>HYPERLINK("http://plants.ensembl.org/Zea_mays/Gene/Summary?db=otherfeatures;g=GRMZM2G317900","GRMZM2G317900")</f>
        <v>GRMZM2G317900</v>
      </c>
      <c r="L126" s="6"/>
      <c r="M126" t="s">
        <v>973</v>
      </c>
      <c r="N126" t="s">
        <v>973</v>
      </c>
      <c r="O126" t="s">
        <v>973</v>
      </c>
      <c r="P126">
        <v>1</v>
      </c>
      <c r="S126" t="s">
        <v>973</v>
      </c>
      <c r="T126" s="6"/>
      <c r="U126" s="11">
        <v>9.7278145736480113</v>
      </c>
      <c r="V126" s="11">
        <v>9.8014731979717915</v>
      </c>
      <c r="W126" s="11">
        <v>8.2729755860278953</v>
      </c>
      <c r="X126" s="11">
        <v>8.7887526938137963</v>
      </c>
      <c r="Y126" s="11">
        <v>8.2123397655498245</v>
      </c>
      <c r="Z126" s="11">
        <v>8.297788593894964</v>
      </c>
      <c r="AA126" s="11">
        <v>7.3801311448112319</v>
      </c>
      <c r="AB126" s="11">
        <v>8.9122530532285769</v>
      </c>
      <c r="AC126" s="11">
        <v>6.9732090678338317</v>
      </c>
      <c r="AD126" s="11">
        <v>6.2621455972671924</v>
      </c>
      <c r="AE126" s="11">
        <v>5.8893534751946515</v>
      </c>
      <c r="AF126" s="11">
        <v>5.9459026165319759</v>
      </c>
      <c r="AG126" s="11">
        <v>6.4953364693366096</v>
      </c>
      <c r="AH126" s="11">
        <v>5.8424945009444933</v>
      </c>
      <c r="AI126" s="11">
        <v>6.5730235257210081</v>
      </c>
      <c r="AJ126" s="11">
        <v>6.5003102379323039</v>
      </c>
      <c r="AK126" s="6"/>
      <c r="AL126" t="s">
        <v>1077</v>
      </c>
      <c r="AM126">
        <v>244</v>
      </c>
      <c r="AN126" s="6"/>
      <c r="AO126" s="20">
        <v>2.7505000000000002</v>
      </c>
      <c r="AP126" s="20">
        <v>3.6244000000000001</v>
      </c>
      <c r="AQ126" s="20">
        <v>2.3851</v>
      </c>
      <c r="AR126" s="20">
        <v>2.8563000000000001</v>
      </c>
      <c r="AS126" s="20">
        <v>1.718</v>
      </c>
      <c r="AT126" s="20">
        <v>2.4525999999999999</v>
      </c>
      <c r="AU126" s="20">
        <v>0.80689999999999995</v>
      </c>
      <c r="AV126" s="20">
        <v>2.4135</v>
      </c>
      <c r="AW126" s="6"/>
      <c r="AX126" s="18">
        <v>1.248E-19</v>
      </c>
      <c r="AY126" s="18">
        <v>8.5219999999999995E-28</v>
      </c>
      <c r="AZ126" s="18">
        <v>1.381E-14</v>
      </c>
      <c r="BA126" s="18">
        <v>3.5740000000000002E-20</v>
      </c>
      <c r="BB126" s="18">
        <v>1.295E-8</v>
      </c>
      <c r="BC126" s="18">
        <v>4.0429999999999996E-15</v>
      </c>
      <c r="BD126" s="18">
        <v>8.234E-3</v>
      </c>
      <c r="BE126" s="18">
        <v>1.892E-15</v>
      </c>
      <c r="BF126" s="13"/>
      <c r="BG126" t="s">
        <v>1190</v>
      </c>
      <c r="BH126" t="s">
        <v>1234</v>
      </c>
      <c r="BI126" t="s">
        <v>1294</v>
      </c>
      <c r="BJ126" t="s">
        <v>1133</v>
      </c>
      <c r="BK126" t="s">
        <v>1115</v>
      </c>
      <c r="BL126" t="s">
        <v>1116</v>
      </c>
      <c r="BM126" t="s">
        <v>1117</v>
      </c>
      <c r="BN126" s="13"/>
      <c r="BO126" t="s">
        <v>973</v>
      </c>
      <c r="BP126" t="s">
        <v>973</v>
      </c>
      <c r="BQ126" t="s">
        <v>973</v>
      </c>
      <c r="BR126" t="s">
        <v>973</v>
      </c>
    </row>
    <row r="127" spans="1:70" x14ac:dyDescent="0.25">
      <c r="A127" t="s">
        <v>923</v>
      </c>
      <c r="B127" t="s">
        <v>879</v>
      </c>
      <c r="C127" t="s">
        <v>22</v>
      </c>
      <c r="D127" s="6"/>
      <c r="E127" s="9" t="str">
        <f>HYPERLINK("http://plants.ensembl.org/Triticum_aestivum/Gene/Summary?g=TRIAE_CS42_7BL_TGACv1_579596_AA1908810","TRIAE_CS42_7BL_TGACv1_579596_AA1908810")</f>
        <v>TRIAE_CS42_7BL_TGACv1_579596_AA1908810</v>
      </c>
      <c r="F127" s="9" t="str">
        <f>HYPERLINK("http://mar2016-plants.ensembl.org/Triticum_aestivum/Gene/Summary?db=core;g=Traes_7BL_66296695F","Traes_7BL_66296695F")</f>
        <v>Traes_7BL_66296695F</v>
      </c>
      <c r="G127" t="s">
        <v>1012</v>
      </c>
      <c r="H127" s="8" t="str">
        <f>HYPERLINK("http://plants.ensembl.org/Brachypodium_distachyon/Gene/Summary?g=Bradi1g32547","Bradi1g32547")</f>
        <v>Bradi1g32547</v>
      </c>
      <c r="I127" s="8" t="str">
        <f>HYPERLINK("http://plants.ensembl.org/Arabidopsis_thaliana/Gene/Summary?g=AT5G37020","AT5G37020")</f>
        <v>AT5G37020</v>
      </c>
      <c r="J127" s="9" t="str">
        <f>HYPERLINK("http://plants.ensembl.org/Oryza_sativa/Gene/Summary?db=otherfeatures;g=LOC_Os06g46410","LOC_Os06g46410")</f>
        <v>LOC_Os06g46410</v>
      </c>
      <c r="K127" s="9" t="str">
        <f>HYPERLINK("http://plants.ensembl.org/Zea_mays/Gene/Summary?db=otherfeatures;g=GRMZM2G089640","GRMZM2G089640")</f>
        <v>GRMZM2G089640</v>
      </c>
      <c r="L127" s="6"/>
      <c r="M127" t="s">
        <v>973</v>
      </c>
      <c r="N127" t="s">
        <v>973</v>
      </c>
      <c r="O127" t="s">
        <v>973</v>
      </c>
      <c r="P127">
        <v>1</v>
      </c>
      <c r="S127" t="s">
        <v>973</v>
      </c>
      <c r="T127" s="6"/>
      <c r="U127" s="11">
        <v>8.3784250647346958</v>
      </c>
      <c r="V127" s="11">
        <v>7.5893612676962245</v>
      </c>
      <c r="W127" s="11">
        <v>8.5403012678547157</v>
      </c>
      <c r="X127" s="11">
        <v>8.2586357526513723</v>
      </c>
      <c r="Y127" s="11">
        <v>8.5207900783898047</v>
      </c>
      <c r="Z127" s="11">
        <v>8.2973329762117967</v>
      </c>
      <c r="AA127" s="11">
        <v>9.3946804043734229</v>
      </c>
      <c r="AB127" s="11">
        <v>8.6499987138321508</v>
      </c>
      <c r="AC127" s="11">
        <v>9.6831146277636133</v>
      </c>
      <c r="AD127" s="11">
        <v>9.0829941811138273</v>
      </c>
      <c r="AE127" s="11">
        <v>8.7856811015383887</v>
      </c>
      <c r="AF127" s="11">
        <v>8.6427447663693862</v>
      </c>
      <c r="AG127" s="11">
        <v>9.2791741858895058</v>
      </c>
      <c r="AH127" s="11">
        <v>8.9216353755700695</v>
      </c>
      <c r="AI127" s="11">
        <v>9.9065941614561783</v>
      </c>
      <c r="AJ127" s="11">
        <v>8.9287194058755315</v>
      </c>
      <c r="AK127" s="6"/>
      <c r="AL127" t="s">
        <v>1079</v>
      </c>
      <c r="AM127">
        <v>0</v>
      </c>
      <c r="AN127" s="6"/>
      <c r="AO127" s="20">
        <v>-1.2970999999999999</v>
      </c>
      <c r="AP127" s="20">
        <v>-1.6826000000000001</v>
      </c>
      <c r="AQ127" s="20">
        <v>-0.24610000000000001</v>
      </c>
      <c r="AR127" s="20">
        <v>-0.3886</v>
      </c>
      <c r="AS127" s="20">
        <v>-0.75690000000000002</v>
      </c>
      <c r="AT127" s="20">
        <v>-0.62370000000000003</v>
      </c>
      <c r="AU127" s="20">
        <v>-0.51200000000000001</v>
      </c>
      <c r="AV127" s="20">
        <v>-0.2787</v>
      </c>
      <c r="AW127" s="6"/>
      <c r="AX127" s="18">
        <v>1.3469999999999999E-8</v>
      </c>
      <c r="AY127" s="18">
        <v>8.6270000000000003E-11</v>
      </c>
      <c r="AZ127" s="18">
        <v>0.26790000000000003</v>
      </c>
      <c r="BA127" s="18">
        <v>8.2869999999999999E-2</v>
      </c>
      <c r="BB127" s="18">
        <v>6.29E-4</v>
      </c>
      <c r="BC127" s="18">
        <v>5.1440000000000001E-3</v>
      </c>
      <c r="BD127" s="18">
        <v>1.9359999999999999E-2</v>
      </c>
      <c r="BE127" s="18">
        <v>0.2099</v>
      </c>
      <c r="BF127" s="13"/>
      <c r="BG127" t="s">
        <v>1164</v>
      </c>
      <c r="BH127" t="s">
        <v>1129</v>
      </c>
      <c r="BI127" t="s">
        <v>1113</v>
      </c>
      <c r="BJ127" t="s">
        <v>1148</v>
      </c>
      <c r="BK127" t="s">
        <v>1115</v>
      </c>
      <c r="BL127" t="s">
        <v>1116</v>
      </c>
      <c r="BM127" t="s">
        <v>1207</v>
      </c>
      <c r="BN127" s="13"/>
      <c r="BO127" t="s">
        <v>973</v>
      </c>
      <c r="BP127" t="s">
        <v>973</v>
      </c>
      <c r="BQ127" t="s">
        <v>973</v>
      </c>
      <c r="BR127" t="s">
        <v>973</v>
      </c>
    </row>
    <row r="128" spans="1:70" x14ac:dyDescent="0.25">
      <c r="A128" t="s">
        <v>936</v>
      </c>
      <c r="B128" t="s">
        <v>844</v>
      </c>
      <c r="C128" t="s">
        <v>22</v>
      </c>
      <c r="D128" s="6"/>
      <c r="E128" s="9" t="str">
        <f>HYPERLINK("http://plants.ensembl.org/Triticum_aestivum/Gene/Summary?g=TRIAE_CS42_7DS_TGACv1_622375_AA2038600","TRIAE_CS42_7DS_TGACv1_622375_AA2038600")</f>
        <v>TRIAE_CS42_7DS_TGACv1_622375_AA2038600</v>
      </c>
      <c r="F128" s="9" t="str">
        <f>HYPERLINK("http://mar2016-plants.ensembl.org/Triticum_aestivum/Gene/Summary?db=core;g=Traes_7DS_7375BED72","Traes_7DS_7375BED72")</f>
        <v>Traes_7DS_7375BED72</v>
      </c>
      <c r="H128" s="8" t="str">
        <f>HYPERLINK("http://plants.ensembl.org/Brachypodium_distachyon/Gene/Summary?g=Bradi1g46602","Bradi1g46602")</f>
        <v>Bradi1g46602</v>
      </c>
      <c r="I128" s="8" t="str">
        <f>HYPERLINK("http://plants.ensembl.org/Arabidopsis_thaliana/Gene/Summary?g=AT5G20730","AT5G20730")</f>
        <v>AT5G20730</v>
      </c>
      <c r="J128" s="9" t="str">
        <f>HYPERLINK("http://plants.ensembl.org/Oryza_sativa/Gene/Summary?db=otherfeatures;g=LOC_Os06g09660","LOC_Os06g09660")</f>
        <v>LOC_Os06g09660</v>
      </c>
      <c r="L128" s="6"/>
      <c r="M128" s="1" t="s">
        <v>973</v>
      </c>
      <c r="N128" s="1" t="s">
        <v>973</v>
      </c>
      <c r="O128" s="1" t="s">
        <v>973</v>
      </c>
      <c r="P128" s="1">
        <v>1</v>
      </c>
      <c r="Q128" s="1" t="s">
        <v>973</v>
      </c>
      <c r="R128" s="1" t="s">
        <v>973</v>
      </c>
      <c r="S128" s="1"/>
      <c r="T128" s="6"/>
      <c r="U128" s="11">
        <v>6.4751551564003638</v>
      </c>
      <c r="V128" s="11">
        <v>7.2092873161712152</v>
      </c>
      <c r="W128" s="11">
        <v>6.556791627655671</v>
      </c>
      <c r="X128" s="11">
        <v>6.3650217454855342</v>
      </c>
      <c r="Y128" s="11">
        <v>6.6475169485580503</v>
      </c>
      <c r="Z128" s="11">
        <v>6.5089087314745901</v>
      </c>
      <c r="AA128" s="11">
        <v>6.2979244412958133</v>
      </c>
      <c r="AB128" s="11">
        <v>6.3739393191675084</v>
      </c>
      <c r="AC128" s="11">
        <v>7.2470477074636994</v>
      </c>
      <c r="AD128" s="11">
        <v>6.2363650534985196</v>
      </c>
      <c r="AE128" s="11">
        <v>6.7715233630820642</v>
      </c>
      <c r="AF128" s="11">
        <v>6.5957488031473792</v>
      </c>
      <c r="AG128" s="11">
        <v>6.9733028370227341</v>
      </c>
      <c r="AH128" s="11">
        <v>6.7091454029952509</v>
      </c>
      <c r="AI128" s="11">
        <v>7.4162477845632839</v>
      </c>
      <c r="AJ128" s="11">
        <v>7.0708000367632318</v>
      </c>
      <c r="AK128" s="6"/>
      <c r="AL128" t="s">
        <v>1099</v>
      </c>
      <c r="AM128">
        <v>0</v>
      </c>
      <c r="AN128" s="6"/>
      <c r="AO128" s="20">
        <v>-0.82889999999999997</v>
      </c>
      <c r="AP128" s="20">
        <v>0.88780000000000003</v>
      </c>
      <c r="AQ128" s="20">
        <v>-0.21759999999999999</v>
      </c>
      <c r="AR128" s="20">
        <v>-0.22839999999999999</v>
      </c>
      <c r="AS128" s="20">
        <v>-0.3281</v>
      </c>
      <c r="AT128" s="20">
        <v>-0.20169999999999999</v>
      </c>
      <c r="AU128" s="20">
        <v>-1.1353</v>
      </c>
      <c r="AV128" s="20">
        <v>-0.70089999999999997</v>
      </c>
      <c r="AW128" s="6"/>
      <c r="AX128" s="18">
        <v>4.5040000000000002E-3</v>
      </c>
      <c r="AY128" s="18">
        <v>5.7790000000000003E-3</v>
      </c>
      <c r="AZ128" s="18">
        <v>0.42630000000000001</v>
      </c>
      <c r="BA128" s="18">
        <v>0.4133</v>
      </c>
      <c r="BB128" s="18">
        <v>0.22620000000000001</v>
      </c>
      <c r="BC128" s="18">
        <v>0.4647</v>
      </c>
      <c r="BD128" s="18">
        <v>2.6699999999999998E-5</v>
      </c>
      <c r="BE128" s="18">
        <v>1.107E-2</v>
      </c>
      <c r="BF128" s="13"/>
      <c r="BG128" t="s">
        <v>1227</v>
      </c>
      <c r="BH128" t="s">
        <v>1112</v>
      </c>
      <c r="BI128" t="s">
        <v>1113</v>
      </c>
      <c r="BJ128" t="s">
        <v>1114</v>
      </c>
      <c r="BK128" t="s">
        <v>1115</v>
      </c>
      <c r="BL128" t="s">
        <v>1116</v>
      </c>
      <c r="BM128" t="s">
        <v>1117</v>
      </c>
      <c r="BN128" s="13"/>
      <c r="BO128" t="s">
        <v>973</v>
      </c>
      <c r="BP128" t="s">
        <v>973</v>
      </c>
      <c r="BQ128" t="s">
        <v>973</v>
      </c>
      <c r="BR128" t="s">
        <v>973</v>
      </c>
    </row>
    <row r="129" spans="1:70" x14ac:dyDescent="0.25">
      <c r="A129" t="s">
        <v>944</v>
      </c>
      <c r="B129" t="s">
        <v>945</v>
      </c>
      <c r="C129" t="s">
        <v>22</v>
      </c>
      <c r="D129" s="6"/>
      <c r="E129" s="9" t="str">
        <f>HYPERLINK("http://plants.ensembl.org/Triticum_aestivum/Gene/Summary?g=TRIAE_CS42_7DS_TGACv1_623271_AA2051500","TRIAE_CS42_7DS_TGACv1_623271_AA2051500")</f>
        <v>TRIAE_CS42_7DS_TGACv1_623271_AA2051500</v>
      </c>
      <c r="F129" s="9" t="str">
        <f>HYPERLINK("http://mar2016-plants.ensembl.org/Triticum_aestivum/Gene/Summary?db=core;g=Traes_7DS_1948388F8","Traes_7DS_1948388F8")</f>
        <v>Traes_7DS_1948388F8</v>
      </c>
      <c r="G129" t="s">
        <v>1035</v>
      </c>
      <c r="H129" s="8" t="str">
        <f>HYPERLINK("http://plants.ensembl.org/Brachypodium_distachyon/Gene/Summary?g=Bradi3g40437","Bradi3g40437")</f>
        <v>Bradi3g40437</v>
      </c>
      <c r="I129" s="1" t="s">
        <v>1051</v>
      </c>
      <c r="J129" s="9" t="str">
        <f>HYPERLINK("http://plants.ensembl.org/Oryza_sativa/Gene/Summary?db=otherfeatures;g=LOC_Os08g40900","LOC_Os08g40900")</f>
        <v>LOC_Os08g40900</v>
      </c>
      <c r="K129" s="9" t="str">
        <f>HYPERLINK("http://plants.ensembl.org/Zea_mays/Gene/Summary?db=otherfeatures;g=GRMZM2G169820","GRMZM2G169820")</f>
        <v>GRMZM2G169820</v>
      </c>
      <c r="L129" s="6"/>
      <c r="M129" t="s">
        <v>973</v>
      </c>
      <c r="N129" t="s">
        <v>973</v>
      </c>
      <c r="O129" t="s">
        <v>973</v>
      </c>
      <c r="P129">
        <v>1</v>
      </c>
      <c r="S129" t="s">
        <v>973</v>
      </c>
      <c r="T129" s="6"/>
      <c r="U129" s="11">
        <v>8.627373981470944</v>
      </c>
      <c r="V129" s="11">
        <v>7.7347547742935685</v>
      </c>
      <c r="W129" s="11">
        <v>8.9066311877422404</v>
      </c>
      <c r="X129" s="11">
        <v>8.4522459086727437</v>
      </c>
      <c r="Y129" s="11">
        <v>8.6639361321038511</v>
      </c>
      <c r="Z129" s="11">
        <v>7.9459016413887564</v>
      </c>
      <c r="AA129" s="11">
        <v>8.7655593877727966</v>
      </c>
      <c r="AB129" s="11">
        <v>8.6340193771522813</v>
      </c>
      <c r="AC129" s="11">
        <v>9.8295642413097433</v>
      </c>
      <c r="AD129" s="11">
        <v>9.1515018389155216</v>
      </c>
      <c r="AE129" s="11">
        <v>9.3483088561577006</v>
      </c>
      <c r="AF129" s="11">
        <v>9.1520566299629866</v>
      </c>
      <c r="AG129" s="11">
        <v>9.2249735173810876</v>
      </c>
      <c r="AH129" s="11">
        <v>8.6150572268092258</v>
      </c>
      <c r="AI129" s="11">
        <v>9.7685448431902184</v>
      </c>
      <c r="AJ129" s="11">
        <v>9.0549796728015775</v>
      </c>
      <c r="AK129" s="6"/>
      <c r="AL129" t="s">
        <v>1079</v>
      </c>
      <c r="AM129">
        <v>0</v>
      </c>
      <c r="AN129" s="6"/>
      <c r="AO129" s="20">
        <v>-1.2011000000000001</v>
      </c>
      <c r="AP129" s="20">
        <v>-1.4899</v>
      </c>
      <c r="AQ129" s="20">
        <v>-0.4425</v>
      </c>
      <c r="AR129" s="20">
        <v>-0.69930000000000003</v>
      </c>
      <c r="AS129" s="20">
        <v>-0.56040000000000001</v>
      </c>
      <c r="AT129" s="20">
        <v>-0.6744</v>
      </c>
      <c r="AU129" s="20">
        <v>-1.0037</v>
      </c>
      <c r="AV129" s="20">
        <v>-0.42109999999999997</v>
      </c>
      <c r="AW129" s="6"/>
      <c r="AX129" s="18">
        <v>4.6129999999999998E-7</v>
      </c>
      <c r="AY129" s="18">
        <v>1.665E-8</v>
      </c>
      <c r="AZ129" s="18">
        <v>5.6829999999999999E-2</v>
      </c>
      <c r="BA129" s="18">
        <v>2.826E-3</v>
      </c>
      <c r="BB129" s="18">
        <v>1.609E-2</v>
      </c>
      <c r="BC129" s="18">
        <v>4.3099999999999996E-3</v>
      </c>
      <c r="BD129" s="18">
        <v>1.4790000000000001E-5</v>
      </c>
      <c r="BE129" s="18">
        <v>7.1749999999999994E-2</v>
      </c>
      <c r="BF129" s="13"/>
      <c r="BG129" t="s">
        <v>1206</v>
      </c>
      <c r="BH129" t="s">
        <v>1112</v>
      </c>
      <c r="BI129" t="s">
        <v>1113</v>
      </c>
      <c r="BJ129" t="s">
        <v>1114</v>
      </c>
      <c r="BK129" t="s">
        <v>1115</v>
      </c>
      <c r="BL129" t="s">
        <v>1116</v>
      </c>
      <c r="BM129" t="s">
        <v>1117</v>
      </c>
      <c r="BN129" s="13"/>
      <c r="BO129" t="s">
        <v>973</v>
      </c>
      <c r="BP129" t="s">
        <v>973</v>
      </c>
      <c r="BQ129" t="s">
        <v>973</v>
      </c>
      <c r="BR129" t="s">
        <v>973</v>
      </c>
    </row>
    <row r="130" spans="1:70" x14ac:dyDescent="0.25">
      <c r="A130" t="s">
        <v>953</v>
      </c>
      <c r="B130" t="s">
        <v>873</v>
      </c>
      <c r="C130" t="s">
        <v>22</v>
      </c>
      <c r="D130" s="6"/>
      <c r="G130" t="s">
        <v>1044</v>
      </c>
      <c r="H130" s="1" t="s">
        <v>1051</v>
      </c>
      <c r="I130" s="1" t="s">
        <v>1051</v>
      </c>
      <c r="J130" s="9" t="str">
        <f>HYPERLINK("http://plants.ensembl.org/Oryza_sativa/Gene/Summary?g=OS06G0702600","OS06G0702600")</f>
        <v>OS06G0702600</v>
      </c>
      <c r="K130" s="9" t="str">
        <f>HYPERLINK("http://plants.ensembl.org/Zea_mays/Gene/Summary?db=otherfeatures;g=GRMZM2G317900","GRMZM2G317900")</f>
        <v>GRMZM2G317900</v>
      </c>
      <c r="L130" s="6"/>
      <c r="M130" t="s">
        <v>973</v>
      </c>
      <c r="N130" t="s">
        <v>973</v>
      </c>
      <c r="O130" t="s">
        <v>973</v>
      </c>
      <c r="P130">
        <v>1</v>
      </c>
      <c r="S130" t="s">
        <v>973</v>
      </c>
      <c r="T130" s="6"/>
      <c r="U130" s="11">
        <v>9.9691339856352634</v>
      </c>
      <c r="V130" s="11">
        <v>10.445552185913654</v>
      </c>
      <c r="W130" s="11">
        <v>8.41920121192023</v>
      </c>
      <c r="X130" s="11">
        <v>8.9186366805959043</v>
      </c>
      <c r="Y130" s="11">
        <v>8.6594093030968651</v>
      </c>
      <c r="Z130" s="11">
        <v>8.4959706509975401</v>
      </c>
      <c r="AA130" s="11">
        <v>7.6038592342819262</v>
      </c>
      <c r="AB130" s="11">
        <v>8.9163103308083684</v>
      </c>
      <c r="AC130" s="11">
        <v>7.2448953023469667</v>
      </c>
      <c r="AD130" s="11">
        <v>6.5919461480580335</v>
      </c>
      <c r="AE130" s="11">
        <v>6.4716405351085298</v>
      </c>
      <c r="AF130" s="11">
        <v>6.1405428218426366</v>
      </c>
      <c r="AG130" s="11">
        <v>6.6037109014977542</v>
      </c>
      <c r="AH130" s="11">
        <v>6.157107729665376</v>
      </c>
      <c r="AI130" s="11">
        <v>6.9141108196014844</v>
      </c>
      <c r="AJ130" s="11">
        <v>6.822889872122313</v>
      </c>
      <c r="AK130" s="6"/>
      <c r="AL130" t="s">
        <v>1077</v>
      </c>
      <c r="AM130">
        <v>145</v>
      </c>
      <c r="AN130" s="6"/>
      <c r="AO130" s="20">
        <v>2.7204999999999999</v>
      </c>
      <c r="AP130" s="20">
        <v>3.8132000000000001</v>
      </c>
      <c r="AQ130" s="20">
        <v>1.9471000000000001</v>
      </c>
      <c r="AR130" s="20">
        <v>2.7826</v>
      </c>
      <c r="AS130" s="20">
        <v>2.0547</v>
      </c>
      <c r="AT130" s="20">
        <v>2.3416000000000001</v>
      </c>
      <c r="AU130" s="20">
        <v>0.68820000000000003</v>
      </c>
      <c r="AV130" s="20">
        <v>2.0929000000000002</v>
      </c>
      <c r="AW130" s="6"/>
      <c r="AX130" s="18">
        <v>1.591E-18</v>
      </c>
      <c r="AY130" s="18">
        <v>9.5940000000000006E-31</v>
      </c>
      <c r="AZ130" s="18">
        <v>4.7500000000000001E-10</v>
      </c>
      <c r="BA130" s="18">
        <v>1.3849999999999999E-18</v>
      </c>
      <c r="BB130" s="18">
        <v>2.9170000000000001E-11</v>
      </c>
      <c r="BC130" s="18">
        <v>1.406E-13</v>
      </c>
      <c r="BD130" s="18">
        <v>2.6890000000000001E-2</v>
      </c>
      <c r="BE130" s="18">
        <v>1.451E-11</v>
      </c>
      <c r="BF130" s="13"/>
      <c r="BG130" t="s">
        <v>1190</v>
      </c>
      <c r="BH130" t="s">
        <v>1132</v>
      </c>
      <c r="BI130" t="s">
        <v>1113</v>
      </c>
      <c r="BJ130" t="s">
        <v>1133</v>
      </c>
      <c r="BK130" t="s">
        <v>1115</v>
      </c>
      <c r="BL130" t="s">
        <v>1140</v>
      </c>
      <c r="BM130" t="s">
        <v>1117</v>
      </c>
      <c r="BN130" s="13"/>
      <c r="BO130" t="s">
        <v>973</v>
      </c>
      <c r="BP130" t="s">
        <v>973</v>
      </c>
      <c r="BQ130" t="s">
        <v>973</v>
      </c>
      <c r="BR130" t="s">
        <v>973</v>
      </c>
    </row>
    <row r="131" spans="1:70" x14ac:dyDescent="0.25">
      <c r="A131" t="s">
        <v>954</v>
      </c>
      <c r="B131" t="s">
        <v>955</v>
      </c>
      <c r="C131" t="s">
        <v>22</v>
      </c>
      <c r="D131" s="6"/>
      <c r="E131" s="9" t="str">
        <f>HYPERLINK("http://plants.ensembl.org/Triticum_aestivum/Gene/Summary?g=TRIAE_CS42_7DL_TGACv1_602960_AA1972710","TRIAE_CS42_7DL_TGACv1_602960_AA1972710")</f>
        <v>TRIAE_CS42_7DL_TGACv1_602960_AA1972710</v>
      </c>
      <c r="F131" s="9" t="str">
        <f>HYPERLINK("http://mar2016-plants.ensembl.org/Triticum_aestivum/Gene/Summary?db=core;g=Traes_7DL_C89614A4D","Traes_7DL_C89614A4D")</f>
        <v>Traes_7DL_C89614A4D</v>
      </c>
      <c r="G131" t="s">
        <v>1012</v>
      </c>
      <c r="H131" s="8" t="str">
        <f>HYPERLINK("http://plants.ensembl.org/Brachypodium_distachyon/Gene/Summary?g=Bradi1g32547","Bradi1g32547")</f>
        <v>Bradi1g32547</v>
      </c>
      <c r="I131" s="8" t="str">
        <f>HYPERLINK("http://plants.ensembl.org/Arabidopsis_thaliana/Gene/Summary?g=AT5G37020","AT5G37020")</f>
        <v>AT5G37020</v>
      </c>
      <c r="J131" s="9" t="str">
        <f>HYPERLINK("http://plants.ensembl.org/Oryza_sativa/Gene/Summary?db=otherfeatures;g=LOC_Os06g46410","LOC_Os06g46410")</f>
        <v>LOC_Os06g46410</v>
      </c>
      <c r="K131" s="9" t="str">
        <f>HYPERLINK("http://plants.ensembl.org/Zea_mays/Gene/Summary?db=otherfeatures;g=GRMZM2G089640","GRMZM2G089640")</f>
        <v>GRMZM2G089640</v>
      </c>
      <c r="L131" s="6"/>
      <c r="M131" t="s">
        <v>973</v>
      </c>
      <c r="N131" t="s">
        <v>973</v>
      </c>
      <c r="O131" t="s">
        <v>973</v>
      </c>
      <c r="P131">
        <v>1</v>
      </c>
      <c r="S131" t="s">
        <v>973</v>
      </c>
      <c r="T131" s="6"/>
      <c r="U131" s="11">
        <v>8.3892399715068091</v>
      </c>
      <c r="V131" s="11">
        <v>7.0337023360521478</v>
      </c>
      <c r="W131" s="11">
        <v>8.5026435421207811</v>
      </c>
      <c r="X131" s="11">
        <v>8.3812281339022441</v>
      </c>
      <c r="Y131" s="11">
        <v>8.4644952432115712</v>
      </c>
      <c r="Z131" s="11">
        <v>8.19900809422432</v>
      </c>
      <c r="AA131" s="11">
        <v>9.0291997882554771</v>
      </c>
      <c r="AB131" s="11">
        <v>8.6049754436044346</v>
      </c>
      <c r="AC131" s="11">
        <v>9.4864692913936128</v>
      </c>
      <c r="AD131" s="11">
        <v>8.7055070603847007</v>
      </c>
      <c r="AE131" s="11">
        <v>8.8696765008987075</v>
      </c>
      <c r="AF131" s="11">
        <v>8.7474180597297213</v>
      </c>
      <c r="AG131" s="11">
        <v>9.4324512854372617</v>
      </c>
      <c r="AH131" s="11">
        <v>8.9910470107338671</v>
      </c>
      <c r="AI131" s="11">
        <v>9.6345169765715521</v>
      </c>
      <c r="AJ131" s="11">
        <v>9.1490528671623235</v>
      </c>
      <c r="AK131" s="6"/>
      <c r="AL131" t="s">
        <v>1079</v>
      </c>
      <c r="AM131">
        <v>0</v>
      </c>
      <c r="AN131" s="6"/>
      <c r="AO131" s="20">
        <v>-1.1284000000000001</v>
      </c>
      <c r="AP131" s="20">
        <v>-1.7493000000000001</v>
      </c>
      <c r="AQ131" s="20">
        <v>-0.36840000000000001</v>
      </c>
      <c r="AR131" s="20">
        <v>-0.36720000000000003</v>
      </c>
      <c r="AS131" s="20">
        <v>-0.96799999999999997</v>
      </c>
      <c r="AT131" s="20">
        <v>-0.79549999999999998</v>
      </c>
      <c r="AU131" s="20">
        <v>-0.60650000000000004</v>
      </c>
      <c r="AV131" s="20">
        <v>-0.54479999999999995</v>
      </c>
      <c r="AW131" s="6"/>
      <c r="AX131" s="18">
        <v>1.125E-8</v>
      </c>
      <c r="AY131" s="18">
        <v>5.4590000000000003E-13</v>
      </c>
      <c r="AZ131" s="18">
        <v>5.2479999999999999E-2</v>
      </c>
      <c r="BA131" s="18">
        <v>5.5370000000000003E-2</v>
      </c>
      <c r="BB131" s="18">
        <v>3.1189999999999998E-7</v>
      </c>
      <c r="BC131" s="18">
        <v>3.1680000000000002E-5</v>
      </c>
      <c r="BD131" s="18">
        <v>1.191E-3</v>
      </c>
      <c r="BE131" s="18">
        <v>4.143E-3</v>
      </c>
      <c r="BF131" s="13"/>
      <c r="BG131" t="s">
        <v>1164</v>
      </c>
      <c r="BH131" t="s">
        <v>1157</v>
      </c>
      <c r="BI131" t="s">
        <v>1113</v>
      </c>
      <c r="BJ131" t="s">
        <v>1148</v>
      </c>
      <c r="BK131" t="s">
        <v>1115</v>
      </c>
      <c r="BL131" t="s">
        <v>1116</v>
      </c>
      <c r="BM131" t="s">
        <v>1117</v>
      </c>
      <c r="BN131" s="13"/>
      <c r="BO131" t="s">
        <v>973</v>
      </c>
      <c r="BP131" t="s">
        <v>973</v>
      </c>
      <c r="BQ131" t="s">
        <v>973</v>
      </c>
      <c r="BR131" t="s">
        <v>973</v>
      </c>
    </row>
    <row r="132" spans="1:70" x14ac:dyDescent="0.25">
      <c r="A132" t="s">
        <v>803</v>
      </c>
      <c r="B132" t="s">
        <v>804</v>
      </c>
      <c r="C132" t="s">
        <v>805</v>
      </c>
      <c r="D132" s="6"/>
      <c r="H132" s="1" t="s">
        <v>1051</v>
      </c>
      <c r="I132" s="1" t="s">
        <v>1051</v>
      </c>
      <c r="J132" s="1" t="s">
        <v>1051</v>
      </c>
      <c r="L132" s="6"/>
      <c r="M132" s="1" t="s">
        <v>973</v>
      </c>
      <c r="N132" s="1" t="s">
        <v>973</v>
      </c>
      <c r="O132" s="1" t="s">
        <v>973</v>
      </c>
      <c r="P132" s="1">
        <v>1</v>
      </c>
      <c r="Q132" s="1" t="s">
        <v>973</v>
      </c>
      <c r="R132" s="1" t="s">
        <v>973</v>
      </c>
      <c r="S132" s="1"/>
      <c r="T132" s="6"/>
      <c r="U132" s="11">
        <v>4.8025137802229771</v>
      </c>
      <c r="V132" s="11">
        <v>5.0241423458978032</v>
      </c>
      <c r="W132" s="11">
        <v>5.5572170725273118</v>
      </c>
      <c r="X132" s="11">
        <v>6.957660820429286</v>
      </c>
      <c r="Y132" s="11">
        <v>5.2678353920976155</v>
      </c>
      <c r="Z132" s="11">
        <v>5.6922272439015353</v>
      </c>
      <c r="AA132" s="11">
        <v>5.5131696196679556</v>
      </c>
      <c r="AB132" s="11">
        <v>6.333366482786043</v>
      </c>
      <c r="AC132" s="11">
        <v>4.17373509275824</v>
      </c>
      <c r="AD132" s="11">
        <v>4.9788606784002916</v>
      </c>
      <c r="AE132" s="11">
        <v>5.2203609136684301</v>
      </c>
      <c r="AF132" s="11">
        <v>5.4239411520262086</v>
      </c>
      <c r="AG132" s="11">
        <v>3.8262705139796092</v>
      </c>
      <c r="AH132" s="11">
        <v>5.1437770631684945</v>
      </c>
      <c r="AI132" s="11">
        <v>4.6048581055642934</v>
      </c>
      <c r="AJ132" s="11">
        <v>6.0026387691904288</v>
      </c>
      <c r="AK132" s="6"/>
      <c r="AL132" t="s">
        <v>1081</v>
      </c>
      <c r="AM132">
        <v>0</v>
      </c>
      <c r="AN132" s="6"/>
      <c r="AO132" s="20">
        <v>0.74209999999999998</v>
      </c>
      <c r="AP132" s="20">
        <v>8.3599999999999994E-2</v>
      </c>
      <c r="AQ132" s="20">
        <v>0.35089999999999999</v>
      </c>
      <c r="AR132" s="20">
        <v>1.5398000000000001</v>
      </c>
      <c r="AS132" s="20">
        <v>1.4734</v>
      </c>
      <c r="AT132" s="20">
        <v>0.56899999999999995</v>
      </c>
      <c r="AU132" s="20">
        <v>0.92469999999999997</v>
      </c>
      <c r="AV132" s="20">
        <v>0.33229999999999998</v>
      </c>
      <c r="AW132" s="6"/>
      <c r="AX132" s="18">
        <v>9.9250000000000005E-2</v>
      </c>
      <c r="AY132" s="18">
        <v>0.86240000000000006</v>
      </c>
      <c r="AZ132" s="18">
        <v>0.35220000000000001</v>
      </c>
      <c r="BA132" s="18">
        <v>2.8500000000000002E-5</v>
      </c>
      <c r="BB132" s="18">
        <v>2.2670000000000001E-4</v>
      </c>
      <c r="BC132" s="18">
        <v>0.13439999999999999</v>
      </c>
      <c r="BD132" s="18">
        <v>1.6379999999999999E-2</v>
      </c>
      <c r="BE132" s="18">
        <v>0.36159999999999998</v>
      </c>
      <c r="BF132" s="13"/>
      <c r="BG132" t="s">
        <v>1153</v>
      </c>
      <c r="BH132" t="s">
        <v>1276</v>
      </c>
      <c r="BI132" t="s">
        <v>1113</v>
      </c>
      <c r="BJ132" t="s">
        <v>1316</v>
      </c>
      <c r="BK132" t="s">
        <v>1115</v>
      </c>
      <c r="BL132" t="s">
        <v>1246</v>
      </c>
      <c r="BM132" t="s">
        <v>1117</v>
      </c>
      <c r="BN132" s="13"/>
      <c r="BO132" t="s">
        <v>973</v>
      </c>
      <c r="BP132" t="s">
        <v>973</v>
      </c>
      <c r="BQ132" t="s">
        <v>973</v>
      </c>
      <c r="BR132">
        <v>1</v>
      </c>
    </row>
    <row r="133" spans="1:70" x14ac:dyDescent="0.25">
      <c r="A133" t="s">
        <v>613</v>
      </c>
      <c r="B133" t="s">
        <v>614</v>
      </c>
      <c r="C133" t="s">
        <v>615</v>
      </c>
      <c r="D133" s="6"/>
      <c r="E133" s="9" t="str">
        <f>HYPERLINK("http://plants.ensembl.org/Triticum_aestivum/Gene/Summary?g=TRIAE_CS42_5AL_TGACv1_376055_AA1231560","TRIAE_CS42_5AL_TGACv1_376055_AA1231560")</f>
        <v>TRIAE_CS42_5AL_TGACv1_376055_AA1231560</v>
      </c>
      <c r="H133" s="8" t="str">
        <f>HYPERLINK("http://plants.ensembl.org/Brachypodium_distachyon/Gene/Summary?g=Bradi4g08567","Bradi4g08567")</f>
        <v>Bradi4g08567</v>
      </c>
      <c r="I133" s="8" t="str">
        <f>HYPERLINK("http://plants.ensembl.org/Arabidopsis_thaliana/Gene/Summary?g=AT3G02260","AT3G02260")</f>
        <v>AT3G02260</v>
      </c>
      <c r="J133" s="9" t="str">
        <f>HYPERLINK("http://plants.ensembl.org/Oryza_sativa/Gene/Summary?db=otherfeatures;g=LOC_Os09g07300","LOC_Os09g07300")</f>
        <v>LOC_Os09g07300</v>
      </c>
      <c r="L133" s="6"/>
      <c r="M133" s="1" t="s">
        <v>973</v>
      </c>
      <c r="N133" s="1" t="s">
        <v>973</v>
      </c>
      <c r="O133" s="1" t="s">
        <v>973</v>
      </c>
      <c r="P133" s="1">
        <v>1</v>
      </c>
      <c r="Q133" s="1" t="s">
        <v>973</v>
      </c>
      <c r="R133" s="1" t="s">
        <v>973</v>
      </c>
      <c r="S133" s="1"/>
      <c r="T133" s="6"/>
      <c r="U133" s="11">
        <v>10.260810063406824</v>
      </c>
      <c r="V133" s="11">
        <v>10.624813972916511</v>
      </c>
      <c r="W133" s="11">
        <v>10.493137057731753</v>
      </c>
      <c r="X133" s="11">
        <v>10.669768763006397</v>
      </c>
      <c r="Y133" s="11">
        <v>9.9083767575464776</v>
      </c>
      <c r="Z133" s="11">
        <v>10.312797623549422</v>
      </c>
      <c r="AA133" s="11">
        <v>9.6511493628726992</v>
      </c>
      <c r="AB133" s="11">
        <v>10.676466471833187</v>
      </c>
      <c r="AC133" s="11">
        <v>10.548328020300552</v>
      </c>
      <c r="AD133" s="11">
        <v>10.862406342564661</v>
      </c>
      <c r="AE133" s="11">
        <v>10.925667205510621</v>
      </c>
      <c r="AF133" s="11">
        <v>10.976830943624424</v>
      </c>
      <c r="AG133" s="11">
        <v>10.592018991980575</v>
      </c>
      <c r="AH133" s="11">
        <v>10.769356148761599</v>
      </c>
      <c r="AI133" s="11">
        <v>10.954593166606351</v>
      </c>
      <c r="AJ133" s="11">
        <v>10.756760008901164</v>
      </c>
      <c r="AK133" s="6"/>
      <c r="AL133" t="s">
        <v>1103</v>
      </c>
      <c r="AM133">
        <v>0</v>
      </c>
      <c r="AN133" s="6"/>
      <c r="AO133" s="20">
        <v>-0.2898</v>
      </c>
      <c r="AP133" s="20">
        <v>-0.21360000000000001</v>
      </c>
      <c r="AQ133" s="20">
        <v>-0.43230000000000002</v>
      </c>
      <c r="AR133" s="20">
        <v>-0.30580000000000002</v>
      </c>
      <c r="AS133" s="20">
        <v>-0.68300000000000005</v>
      </c>
      <c r="AT133" s="20">
        <v>-0.45629999999999998</v>
      </c>
      <c r="AU133" s="20">
        <v>-1.3030999999999999</v>
      </c>
      <c r="AV133" s="20">
        <v>-8.0100000000000005E-2</v>
      </c>
      <c r="AW133" s="6"/>
      <c r="AX133" s="18">
        <v>0.1512</v>
      </c>
      <c r="AY133" s="18">
        <v>0.29899999999999999</v>
      </c>
      <c r="AZ133" s="18">
        <v>2.988E-2</v>
      </c>
      <c r="BA133" s="18">
        <v>0.12470000000000001</v>
      </c>
      <c r="BB133" s="18">
        <v>6.2620000000000004E-4</v>
      </c>
      <c r="BC133" s="18">
        <v>2.213E-2</v>
      </c>
      <c r="BD133" s="18">
        <v>6.5340000000000004E-11</v>
      </c>
      <c r="BE133" s="18">
        <v>0.6875</v>
      </c>
      <c r="BF133" s="13"/>
      <c r="BG133" t="s">
        <v>1227</v>
      </c>
      <c r="BH133" t="s">
        <v>1112</v>
      </c>
      <c r="BI133" t="s">
        <v>1113</v>
      </c>
      <c r="BJ133" t="s">
        <v>1133</v>
      </c>
      <c r="BK133" t="s">
        <v>1115</v>
      </c>
      <c r="BL133" t="s">
        <v>1116</v>
      </c>
      <c r="BM133" t="s">
        <v>1117</v>
      </c>
      <c r="BN133" s="13"/>
      <c r="BO133" t="s">
        <v>973</v>
      </c>
      <c r="BP133" t="s">
        <v>973</v>
      </c>
      <c r="BQ133" t="s">
        <v>973</v>
      </c>
      <c r="BR133" t="s">
        <v>973</v>
      </c>
    </row>
    <row r="134" spans="1:70" x14ac:dyDescent="0.25">
      <c r="A134" t="s">
        <v>675</v>
      </c>
      <c r="B134" t="s">
        <v>614</v>
      </c>
      <c r="C134" t="s">
        <v>615</v>
      </c>
      <c r="D134" s="6"/>
      <c r="H134" s="8" t="str">
        <f>HYPERLINK("http://plants.ensembl.org/Brachypodium_distachyon/Gene/Summary?g=Bradi4g08567","Bradi4g08567")</f>
        <v>Bradi4g08567</v>
      </c>
      <c r="I134" s="8" t="str">
        <f>HYPERLINK("http://plants.ensembl.org/Arabidopsis_thaliana/Gene/Summary?g=AT3G02260","AT3G02260")</f>
        <v>AT3G02260</v>
      </c>
      <c r="J134" s="9" t="str">
        <f>HYPERLINK("http://plants.ensembl.org/Oryza_sativa/Gene/Summary?db=otherfeatures;g=LOC_Os09g07300","LOC_Os09g07300")</f>
        <v>LOC_Os09g07300</v>
      </c>
      <c r="L134" s="6"/>
      <c r="M134" s="1" t="s">
        <v>973</v>
      </c>
      <c r="N134" s="1" t="s">
        <v>973</v>
      </c>
      <c r="O134" s="1" t="s">
        <v>973</v>
      </c>
      <c r="P134" s="1">
        <v>1</v>
      </c>
      <c r="Q134" s="1" t="s">
        <v>973</v>
      </c>
      <c r="R134" s="1" t="s">
        <v>973</v>
      </c>
      <c r="S134" s="1"/>
      <c r="T134" s="6"/>
      <c r="U134" s="11">
        <v>9.8611367530919267</v>
      </c>
      <c r="V134" s="11">
        <v>9.8776825517435913</v>
      </c>
      <c r="W134" s="11">
        <v>9.9742837470159991</v>
      </c>
      <c r="X134" s="11">
        <v>10.248270943135084</v>
      </c>
      <c r="Y134" s="11">
        <v>9.6050166331691429</v>
      </c>
      <c r="Z134" s="11">
        <v>9.9796749836051557</v>
      </c>
      <c r="AA134" s="11">
        <v>9.1085667961200443</v>
      </c>
      <c r="AB134" s="11">
        <v>10.019874930744319</v>
      </c>
      <c r="AC134" s="11">
        <v>10.184423624368495</v>
      </c>
      <c r="AD134" s="11">
        <v>10.287230361947779</v>
      </c>
      <c r="AE134" s="11">
        <v>10.43215090001855</v>
      </c>
      <c r="AF134" s="11">
        <v>10.499032049312769</v>
      </c>
      <c r="AG134" s="11">
        <v>10.21232865885284</v>
      </c>
      <c r="AH134" s="11">
        <v>10.346872293984648</v>
      </c>
      <c r="AI134" s="11">
        <v>10.508538090523157</v>
      </c>
      <c r="AJ134" s="11">
        <v>10.285177242623696</v>
      </c>
      <c r="AK134" s="6"/>
      <c r="AL134" t="s">
        <v>1103</v>
      </c>
      <c r="AM134">
        <v>0</v>
      </c>
      <c r="AN134" s="6"/>
      <c r="AO134" s="20">
        <v>-0.32469999999999999</v>
      </c>
      <c r="AP134" s="20">
        <v>-0.39450000000000002</v>
      </c>
      <c r="AQ134" s="20">
        <v>-0.45789999999999997</v>
      </c>
      <c r="AR134" s="20">
        <v>-0.2495</v>
      </c>
      <c r="AS134" s="20">
        <v>-0.60709999999999997</v>
      </c>
      <c r="AT134" s="20">
        <v>-0.36730000000000002</v>
      </c>
      <c r="AU134" s="20">
        <v>-1.4005000000000001</v>
      </c>
      <c r="AV134" s="20">
        <v>-0.26500000000000001</v>
      </c>
      <c r="AW134" s="6"/>
      <c r="AX134" s="18">
        <v>0.1094</v>
      </c>
      <c r="AY134" s="18">
        <v>6.0010000000000001E-2</v>
      </c>
      <c r="AZ134" s="18">
        <v>2.163E-2</v>
      </c>
      <c r="BA134" s="18">
        <v>0.2109</v>
      </c>
      <c r="BB134" s="18">
        <v>2.3879999999999999E-3</v>
      </c>
      <c r="BC134" s="18">
        <v>6.5799999999999997E-2</v>
      </c>
      <c r="BD134" s="18">
        <v>2.5209999999999999E-12</v>
      </c>
      <c r="BE134" s="18">
        <v>0.1845</v>
      </c>
      <c r="BF134" s="13"/>
      <c r="BG134" t="s">
        <v>1227</v>
      </c>
      <c r="BH134" t="s">
        <v>1112</v>
      </c>
      <c r="BI134" t="s">
        <v>1113</v>
      </c>
      <c r="BJ134" t="s">
        <v>1114</v>
      </c>
      <c r="BK134" t="s">
        <v>1115</v>
      </c>
      <c r="BL134" t="s">
        <v>1116</v>
      </c>
      <c r="BM134" t="s">
        <v>1117</v>
      </c>
      <c r="BN134" s="13"/>
      <c r="BO134" t="s">
        <v>973</v>
      </c>
      <c r="BP134" t="s">
        <v>973</v>
      </c>
      <c r="BQ134" t="s">
        <v>973</v>
      </c>
      <c r="BR134" t="s">
        <v>973</v>
      </c>
    </row>
    <row r="135" spans="1:70" x14ac:dyDescent="0.25">
      <c r="A135" t="s">
        <v>726</v>
      </c>
      <c r="B135" t="s">
        <v>614</v>
      </c>
      <c r="C135" t="s">
        <v>615</v>
      </c>
      <c r="D135" s="6"/>
      <c r="E135" s="9" t="str">
        <f>HYPERLINK("http://plants.ensembl.org/Triticum_aestivum/Gene/Summary?g=TRIAE_CS42_5DL_TGACv1_436313_AA1459960","TRIAE_CS42_5DL_TGACv1_436313_AA1459960")</f>
        <v>TRIAE_CS42_5DL_TGACv1_436313_AA1459960</v>
      </c>
      <c r="H135" s="8" t="str">
        <f>HYPERLINK("http://plants.ensembl.org/Brachypodium_distachyon/Gene/Summary?g=Bradi4g08567","Bradi4g08567")</f>
        <v>Bradi4g08567</v>
      </c>
      <c r="I135" s="8" t="str">
        <f>HYPERLINK("http://plants.ensembl.org/Arabidopsis_thaliana/Gene/Summary?g=AT3G02260","AT3G02260")</f>
        <v>AT3G02260</v>
      </c>
      <c r="J135" s="9" t="str">
        <f>HYPERLINK("http://plants.ensembl.org/Oryza_sativa/Gene/Summary?db=otherfeatures;g=LOC_Os09g07300","LOC_Os09g07300")</f>
        <v>LOC_Os09g07300</v>
      </c>
      <c r="L135" s="6"/>
      <c r="M135" s="1" t="s">
        <v>973</v>
      </c>
      <c r="N135" s="1" t="s">
        <v>973</v>
      </c>
      <c r="O135" s="1" t="s">
        <v>973</v>
      </c>
      <c r="P135" s="1">
        <v>1</v>
      </c>
      <c r="Q135" s="1" t="s">
        <v>973</v>
      </c>
      <c r="R135" s="1" t="s">
        <v>973</v>
      </c>
      <c r="S135" s="1"/>
      <c r="T135" s="6"/>
      <c r="U135" s="11">
        <v>9.950698920158521</v>
      </c>
      <c r="V135" s="11">
        <v>10.257799612067323</v>
      </c>
      <c r="W135" s="11">
        <v>10.158459352315941</v>
      </c>
      <c r="X135" s="11">
        <v>10.341000138134117</v>
      </c>
      <c r="Y135" s="11">
        <v>9.6012062258446011</v>
      </c>
      <c r="Z135" s="11">
        <v>10.014862447798878</v>
      </c>
      <c r="AA135" s="11">
        <v>9.1970189131807771</v>
      </c>
      <c r="AB135" s="11">
        <v>10.294675691247328</v>
      </c>
      <c r="AC135" s="11">
        <v>10.235369739899367</v>
      </c>
      <c r="AD135" s="11">
        <v>10.38934607004891</v>
      </c>
      <c r="AE135" s="11">
        <v>10.639532301509329</v>
      </c>
      <c r="AF135" s="11">
        <v>10.72931260151244</v>
      </c>
      <c r="AG135" s="11">
        <v>10.200047977317876</v>
      </c>
      <c r="AH135" s="11">
        <v>10.501562847770336</v>
      </c>
      <c r="AI135" s="11">
        <v>10.597399199233314</v>
      </c>
      <c r="AJ135" s="11">
        <v>10.495464460588856</v>
      </c>
      <c r="AK135" s="6"/>
      <c r="AL135" t="s">
        <v>1103</v>
      </c>
      <c r="AM135">
        <v>0</v>
      </c>
      <c r="AN135" s="6"/>
      <c r="AO135" s="20">
        <v>-0.2868</v>
      </c>
      <c r="AP135" s="20">
        <v>-0.1303</v>
      </c>
      <c r="AQ135" s="20">
        <v>-0.48089999999999999</v>
      </c>
      <c r="AR135" s="20">
        <v>-0.3866</v>
      </c>
      <c r="AS135" s="20">
        <v>-0.5988</v>
      </c>
      <c r="AT135" s="20">
        <v>-0.48670000000000002</v>
      </c>
      <c r="AU135" s="20">
        <v>-1.4005000000000001</v>
      </c>
      <c r="AV135" s="20">
        <v>-0.20039999999999999</v>
      </c>
      <c r="AW135" s="6"/>
      <c r="AX135" s="18">
        <v>0.1643</v>
      </c>
      <c r="AY135" s="18">
        <v>0.53739999999999999</v>
      </c>
      <c r="AZ135" s="18">
        <v>1.771E-2</v>
      </c>
      <c r="BA135" s="18">
        <v>5.6669999999999998E-2</v>
      </c>
      <c r="BB135" s="18">
        <v>3.2680000000000001E-3</v>
      </c>
      <c r="BC135" s="18">
        <v>1.66E-2</v>
      </c>
      <c r="BD135" s="18">
        <v>5.9550000000000004E-12</v>
      </c>
      <c r="BE135" s="18">
        <v>0.32350000000000001</v>
      </c>
      <c r="BF135" s="13"/>
      <c r="BG135" t="s">
        <v>1227</v>
      </c>
      <c r="BH135" t="s">
        <v>1112</v>
      </c>
      <c r="BI135" t="s">
        <v>1113</v>
      </c>
      <c r="BJ135" t="s">
        <v>1133</v>
      </c>
      <c r="BK135" t="s">
        <v>1115</v>
      </c>
      <c r="BL135" t="s">
        <v>1116</v>
      </c>
      <c r="BM135" t="s">
        <v>1117</v>
      </c>
      <c r="BN135" s="13"/>
      <c r="BO135" t="s">
        <v>973</v>
      </c>
      <c r="BP135" t="s">
        <v>973</v>
      </c>
      <c r="BQ135" t="s">
        <v>973</v>
      </c>
      <c r="BR135" t="s">
        <v>973</v>
      </c>
    </row>
    <row r="136" spans="1:70" x14ac:dyDescent="0.25">
      <c r="A136" t="s">
        <v>466</v>
      </c>
      <c r="B136" t="s">
        <v>467</v>
      </c>
      <c r="C136" t="s">
        <v>468</v>
      </c>
      <c r="D136" s="6"/>
      <c r="H136" s="8" t="str">
        <f>HYPERLINK("http://plants.ensembl.org/Brachypodium_distachyon/Gene/Summary?g=Bradi1g71560","Bradi1g71560")</f>
        <v>Bradi1g71560</v>
      </c>
      <c r="I136" s="1" t="s">
        <v>1051</v>
      </c>
      <c r="J136" s="9" t="str">
        <f>HYPERLINK("http://plants.ensembl.org/Oryza_sativa/Gene/Summary?db=otherfeatures;g=LOC_Os03g09880","LOC_Os03g09880")</f>
        <v>LOC_Os03g09880</v>
      </c>
      <c r="L136" s="6"/>
      <c r="M136" s="1" t="s">
        <v>973</v>
      </c>
      <c r="N136" s="1" t="s">
        <v>973</v>
      </c>
      <c r="O136" s="1" t="s">
        <v>973</v>
      </c>
      <c r="P136" s="1">
        <v>1</v>
      </c>
      <c r="Q136" s="1" t="s">
        <v>973</v>
      </c>
      <c r="R136" s="1" t="s">
        <v>973</v>
      </c>
      <c r="S136" s="1"/>
      <c r="T136" s="6"/>
      <c r="U136" s="11">
        <v>5.1884998334987653</v>
      </c>
      <c r="V136" s="11">
        <v>9.8870370296038548</v>
      </c>
      <c r="W136" s="11">
        <v>3.3458647068483551</v>
      </c>
      <c r="X136" s="11">
        <v>5.5008264801073858</v>
      </c>
      <c r="Y136" s="11">
        <v>4.2629767970691317</v>
      </c>
      <c r="Z136" s="11">
        <v>5.1752158563332289</v>
      </c>
      <c r="AA136" s="11">
        <v>1.8366109083739361</v>
      </c>
      <c r="AB136" s="11">
        <v>4.0675096532207524</v>
      </c>
      <c r="AC136" s="11">
        <v>0</v>
      </c>
      <c r="AD136" s="11">
        <v>0</v>
      </c>
      <c r="AE136" s="11">
        <v>1.1020533827291881</v>
      </c>
      <c r="AF136" s="11">
        <v>0</v>
      </c>
      <c r="AG136" s="11">
        <v>0.51799790992450889</v>
      </c>
      <c r="AH136" s="11">
        <v>0.40355859560642487</v>
      </c>
      <c r="AI136" s="11">
        <v>0</v>
      </c>
      <c r="AJ136" s="11">
        <v>0</v>
      </c>
      <c r="AK136" s="6"/>
      <c r="AL136" t="s">
        <v>1077</v>
      </c>
      <c r="AM136">
        <v>796</v>
      </c>
      <c r="AN136" s="6"/>
      <c r="AO136" s="20">
        <v>6.9938000000000002</v>
      </c>
      <c r="AP136" s="20">
        <v>10.620900000000001</v>
      </c>
      <c r="AQ136" s="20">
        <v>2.88</v>
      </c>
      <c r="AR136" s="20">
        <v>7.3605</v>
      </c>
      <c r="AS136" s="20">
        <v>5.1746999999999996</v>
      </c>
      <c r="AT136" s="20">
        <v>6.1577999999999999</v>
      </c>
      <c r="AU136" s="20">
        <v>3.5508999999999999</v>
      </c>
      <c r="AV136" s="20">
        <v>6.0526999999999997</v>
      </c>
      <c r="AW136" s="6"/>
      <c r="AX136" s="18">
        <v>5.8570000000000001E-8</v>
      </c>
      <c r="AY136" s="18">
        <v>5.5620000000000004E-17</v>
      </c>
      <c r="AZ136" s="18">
        <v>5.9059999999999998E-3</v>
      </c>
      <c r="BA136" s="18">
        <v>8.605E-9</v>
      </c>
      <c r="BB136" s="18">
        <v>5.1780000000000002E-6</v>
      </c>
      <c r="BC136" s="18">
        <v>1.0809999999999999E-6</v>
      </c>
      <c r="BD136" s="18">
        <v>7.4289999999999998E-3</v>
      </c>
      <c r="BE136" s="18">
        <v>2.6249999999999999E-6</v>
      </c>
      <c r="BF136" s="13"/>
      <c r="BG136" t="s">
        <v>1125</v>
      </c>
      <c r="BH136" t="s">
        <v>1126</v>
      </c>
      <c r="BI136" t="s">
        <v>1113</v>
      </c>
      <c r="BJ136" t="s">
        <v>1127</v>
      </c>
      <c r="BK136" t="s">
        <v>1115</v>
      </c>
      <c r="BL136" t="s">
        <v>1116</v>
      </c>
      <c r="BM136" t="s">
        <v>1117</v>
      </c>
      <c r="BN136" s="13"/>
      <c r="BO136" t="s">
        <v>973</v>
      </c>
      <c r="BP136">
        <v>1</v>
      </c>
      <c r="BQ136" t="s">
        <v>973</v>
      </c>
      <c r="BR136" t="s">
        <v>973</v>
      </c>
    </row>
    <row r="137" spans="1:70" x14ac:dyDescent="0.25">
      <c r="A137" t="s">
        <v>586</v>
      </c>
      <c r="B137" t="s">
        <v>467</v>
      </c>
      <c r="C137" t="s">
        <v>468</v>
      </c>
      <c r="D137" s="6"/>
      <c r="E137" s="9" t="str">
        <f>HYPERLINK("http://plants.ensembl.org/Triticum_aestivum/Gene/Summary?g=TRIAE_CS42_4DL_TGACv1_344361_AA1146500","TRIAE_CS42_4DL_TGACv1_344361_AA1146500")</f>
        <v>TRIAE_CS42_4DL_TGACv1_344361_AA1146500</v>
      </c>
      <c r="H137" s="1" t="s">
        <v>1051</v>
      </c>
      <c r="I137" s="1" t="s">
        <v>1051</v>
      </c>
      <c r="J137" s="1" t="s">
        <v>1051</v>
      </c>
      <c r="L137" s="6"/>
      <c r="M137" s="1" t="s">
        <v>973</v>
      </c>
      <c r="N137" s="1" t="s">
        <v>973</v>
      </c>
      <c r="O137" s="1" t="s">
        <v>973</v>
      </c>
      <c r="P137" s="1">
        <v>1</v>
      </c>
      <c r="Q137" s="1" t="s">
        <v>973</v>
      </c>
      <c r="R137" s="1" t="s">
        <v>973</v>
      </c>
      <c r="S137" s="1"/>
      <c r="T137" s="6"/>
      <c r="U137" s="11">
        <v>4.9865095387989209</v>
      </c>
      <c r="V137" s="11">
        <v>8.5256698342099337</v>
      </c>
      <c r="W137" s="11">
        <v>3.7526701043787845</v>
      </c>
      <c r="X137" s="11">
        <v>5.1660766941425385</v>
      </c>
      <c r="Y137" s="11">
        <v>3.6707836963023825</v>
      </c>
      <c r="Z137" s="11">
        <v>4.525505148819672</v>
      </c>
      <c r="AA137" s="11">
        <v>3.2093649816038434</v>
      </c>
      <c r="AB137" s="11">
        <v>4.35480475120157</v>
      </c>
      <c r="AC137" s="11">
        <v>0.50260217423209885</v>
      </c>
      <c r="AD137" s="11">
        <v>0</v>
      </c>
      <c r="AE137" s="11">
        <v>0.35245722601779272</v>
      </c>
      <c r="AF137" s="11">
        <v>0.35147756939305858</v>
      </c>
      <c r="AG137" s="11">
        <v>0.2964280392343483</v>
      </c>
      <c r="AH137" s="11">
        <v>0</v>
      </c>
      <c r="AI137" s="11">
        <v>0</v>
      </c>
      <c r="AJ137" s="11">
        <v>0</v>
      </c>
      <c r="AK137" s="6"/>
      <c r="AL137" t="s">
        <v>1077</v>
      </c>
      <c r="AM137">
        <v>2920</v>
      </c>
      <c r="AN137" s="6"/>
      <c r="AO137" s="20">
        <v>6.0894000000000004</v>
      </c>
      <c r="AP137" s="20">
        <v>9.4832999999999998</v>
      </c>
      <c r="AQ137" s="20">
        <v>4.9508000000000001</v>
      </c>
      <c r="AR137" s="20">
        <v>6.3362999999999996</v>
      </c>
      <c r="AS137" s="20">
        <v>5.3948999999999998</v>
      </c>
      <c r="AT137" s="20">
        <v>6.4619999999999997</v>
      </c>
      <c r="AU137" s="20">
        <v>5.2487000000000004</v>
      </c>
      <c r="AV137" s="20">
        <v>6.4756999999999998</v>
      </c>
      <c r="AW137" s="6"/>
      <c r="AX137" s="18">
        <v>1.0509999999999999E-7</v>
      </c>
      <c r="AY137" s="18">
        <v>3.0330000000000002E-16</v>
      </c>
      <c r="AZ137" s="18">
        <v>1.9559999999999999E-5</v>
      </c>
      <c r="BA137" s="18">
        <v>1.667E-8</v>
      </c>
      <c r="BB137" s="18">
        <v>1.841E-6</v>
      </c>
      <c r="BC137" s="18">
        <v>3.1510000000000002E-8</v>
      </c>
      <c r="BD137" s="18">
        <v>8.5539999999999998E-6</v>
      </c>
      <c r="BE137" s="18">
        <v>3.2619999999999997E-8</v>
      </c>
      <c r="BF137" s="13"/>
      <c r="BG137" t="s">
        <v>1125</v>
      </c>
      <c r="BH137" t="s">
        <v>1126</v>
      </c>
      <c r="BI137" t="s">
        <v>1113</v>
      </c>
      <c r="BJ137" t="s">
        <v>1127</v>
      </c>
      <c r="BK137" t="s">
        <v>1115</v>
      </c>
      <c r="BL137" t="s">
        <v>1116</v>
      </c>
      <c r="BM137" t="s">
        <v>1117</v>
      </c>
      <c r="BN137" s="13"/>
      <c r="BO137" t="s">
        <v>973</v>
      </c>
      <c r="BP137">
        <v>1</v>
      </c>
      <c r="BQ137" t="s">
        <v>973</v>
      </c>
      <c r="BR137" t="s">
        <v>973</v>
      </c>
    </row>
    <row r="138" spans="1:70" x14ac:dyDescent="0.25">
      <c r="A138" t="s">
        <v>583</v>
      </c>
      <c r="B138" t="s">
        <v>584</v>
      </c>
      <c r="C138" t="s">
        <v>585</v>
      </c>
      <c r="D138" s="6"/>
      <c r="E138" s="9" t="str">
        <f>HYPERLINK("http://plants.ensembl.org/Triticum_aestivum/Gene/Summary?g=TRIAE_CS42_4DL_TGACv1_342747_AA1120860","TRIAE_CS42_4DL_TGACv1_342747_AA1120860")</f>
        <v>TRIAE_CS42_4DL_TGACv1_342747_AA1120860</v>
      </c>
      <c r="F138" s="9" t="str">
        <f>HYPERLINK("http://mar2016-plants.ensembl.org/Triticum_aestivum/Gene/Summary?db=core;g=Traes_4DL_18F2AAFE1","Traes_4DL_18F2AAFE1")</f>
        <v>Traes_4DL_18F2AAFE1</v>
      </c>
      <c r="H138" s="8" t="str">
        <f>HYPERLINK("http://plants.ensembl.org/Brachypodium_distachyon/Gene/Summary?g=Bradi1g71560","Bradi1g71560")</f>
        <v>Bradi1g71560</v>
      </c>
      <c r="I138" s="1" t="s">
        <v>1051</v>
      </c>
      <c r="J138" s="9" t="str">
        <f>HYPERLINK("http://plants.ensembl.org/Oryza_sativa/Gene/Summary?db=otherfeatures;g=LOC_Os03g09880","LOC_Os03g09880")</f>
        <v>LOC_Os03g09880</v>
      </c>
      <c r="L138" s="6"/>
      <c r="M138" s="1" t="s">
        <v>973</v>
      </c>
      <c r="N138" s="1" t="s">
        <v>973</v>
      </c>
      <c r="O138" s="1" t="s">
        <v>973</v>
      </c>
      <c r="P138" s="1">
        <v>1</v>
      </c>
      <c r="Q138" s="1" t="s">
        <v>973</v>
      </c>
      <c r="R138" s="1" t="s">
        <v>973</v>
      </c>
      <c r="S138" s="1"/>
      <c r="T138" s="6"/>
      <c r="U138" s="11">
        <v>9.8562059172293637</v>
      </c>
      <c r="V138" s="11">
        <v>12.295647930042451</v>
      </c>
      <c r="W138" s="11">
        <v>7.758248758754581</v>
      </c>
      <c r="X138" s="11">
        <v>8.7769602244222522</v>
      </c>
      <c r="Y138" s="11">
        <v>8.6457889474795024</v>
      </c>
      <c r="Z138" s="11">
        <v>8.8837938934689973</v>
      </c>
      <c r="AA138" s="11">
        <v>7.7740901376650378</v>
      </c>
      <c r="AB138" s="11">
        <v>7.6972416701832618</v>
      </c>
      <c r="AC138" s="11">
        <v>2.6821312825629762</v>
      </c>
      <c r="AD138" s="11">
        <v>0</v>
      </c>
      <c r="AE138" s="11">
        <v>2.5904742745330975</v>
      </c>
      <c r="AF138" s="11">
        <v>0.83452245725962559</v>
      </c>
      <c r="AG138" s="11">
        <v>0.84628603171360473</v>
      </c>
      <c r="AH138" s="11">
        <v>0.71852602646226216</v>
      </c>
      <c r="AI138" s="11">
        <v>1.6191155977278935</v>
      </c>
      <c r="AJ138" s="11">
        <v>0.33536891510367295</v>
      </c>
      <c r="AK138" s="6"/>
      <c r="AL138" t="s">
        <v>1077</v>
      </c>
      <c r="AM138" s="12">
        <v>4082</v>
      </c>
      <c r="AN138" s="6"/>
      <c r="AO138" s="20">
        <v>7.2728999999999999</v>
      </c>
      <c r="AP138" s="20">
        <v>12.591699999999999</v>
      </c>
      <c r="AQ138" s="20">
        <v>5.2370999999999999</v>
      </c>
      <c r="AR138" s="20">
        <v>8.3074999999999992</v>
      </c>
      <c r="AS138" s="20">
        <v>8.4389000000000003</v>
      </c>
      <c r="AT138" s="20">
        <v>8.8622999999999994</v>
      </c>
      <c r="AU138" s="20">
        <v>6.4146000000000001</v>
      </c>
      <c r="AV138" s="20">
        <v>8.5007000000000001</v>
      </c>
      <c r="AW138" s="6"/>
      <c r="AX138" s="18">
        <v>3.5530000000000001E-17</v>
      </c>
      <c r="AY138" s="18">
        <v>5.2250000000000001E-26</v>
      </c>
      <c r="AZ138" s="18">
        <v>9.2200000000000002E-10</v>
      </c>
      <c r="BA138" s="18">
        <v>1.919E-16</v>
      </c>
      <c r="BB138" s="18">
        <v>2.083E-18</v>
      </c>
      <c r="BC138" s="18">
        <v>2.2620000000000001E-16</v>
      </c>
      <c r="BD138" s="18">
        <v>1.975E-12</v>
      </c>
      <c r="BE138" s="18">
        <v>4.6579999999999999E-13</v>
      </c>
      <c r="BF138" s="13"/>
      <c r="BG138" t="s">
        <v>1131</v>
      </c>
      <c r="BH138" t="s">
        <v>1211</v>
      </c>
      <c r="BI138" t="s">
        <v>1113</v>
      </c>
      <c r="BJ138" t="s">
        <v>1127</v>
      </c>
      <c r="BK138" t="s">
        <v>1115</v>
      </c>
      <c r="BL138" t="s">
        <v>1116</v>
      </c>
      <c r="BM138" t="s">
        <v>1117</v>
      </c>
      <c r="BN138" s="13"/>
      <c r="BO138" t="s">
        <v>973</v>
      </c>
      <c r="BP138" t="s">
        <v>973</v>
      </c>
      <c r="BQ138" t="s">
        <v>973</v>
      </c>
      <c r="BR138" t="s">
        <v>973</v>
      </c>
    </row>
    <row r="139" spans="1:70" x14ac:dyDescent="0.25">
      <c r="A139" t="s">
        <v>640</v>
      </c>
      <c r="B139" t="s">
        <v>641</v>
      </c>
      <c r="C139" t="s">
        <v>585</v>
      </c>
      <c r="D139" s="6"/>
      <c r="E139" s="9" t="str">
        <f>HYPERLINK("http://plants.ensembl.org/Triticum_aestivum/Gene/Summary?g=TRIAE_CS42_5AL_TGACv1_375597_AA1224240","TRIAE_CS42_5AL_TGACv1_375597_AA1224240")</f>
        <v>TRIAE_CS42_5AL_TGACv1_375597_AA1224240</v>
      </c>
      <c r="H139" s="8" t="str">
        <f>HYPERLINK("http://plants.ensembl.org/Brachypodium_distachyon/Gene/Summary?g=Bradi4g34330","Bradi4g34330")</f>
        <v>Bradi4g34330</v>
      </c>
      <c r="I139" s="1" t="s">
        <v>1051</v>
      </c>
      <c r="J139" s="9" t="str">
        <f>HYPERLINK("http://plants.ensembl.org/Oryza_sativa/Gene/Summary?db=otherfeatures;g=LOC_Os08g41290","LOC_Os08g41290")</f>
        <v>LOC_Os08g41290</v>
      </c>
      <c r="L139" s="6"/>
      <c r="M139" s="1" t="s">
        <v>973</v>
      </c>
      <c r="N139" s="1" t="s">
        <v>973</v>
      </c>
      <c r="O139" s="1" t="s">
        <v>973</v>
      </c>
      <c r="P139" s="1">
        <v>1</v>
      </c>
      <c r="Q139" s="1" t="s">
        <v>973</v>
      </c>
      <c r="R139" s="1" t="s">
        <v>973</v>
      </c>
      <c r="S139" s="1"/>
      <c r="T139" s="6"/>
      <c r="U139" s="11">
        <v>5.8647276212514816</v>
      </c>
      <c r="V139" s="11">
        <v>6.6980647159367379</v>
      </c>
      <c r="W139" s="11">
        <v>0.32875988602729322</v>
      </c>
      <c r="X139" s="11">
        <v>0.61318586757271698</v>
      </c>
      <c r="Y139" s="11">
        <v>0</v>
      </c>
      <c r="Z139" s="11">
        <v>0</v>
      </c>
      <c r="AA139" s="11">
        <v>0</v>
      </c>
      <c r="AB139" s="11">
        <v>0.69898889541046594</v>
      </c>
      <c r="AC139" s="11">
        <v>0</v>
      </c>
      <c r="AD139" s="11">
        <v>0</v>
      </c>
      <c r="AE139" s="11">
        <v>0</v>
      </c>
      <c r="AF139" s="11">
        <v>0</v>
      </c>
      <c r="AG139" s="11">
        <v>0</v>
      </c>
      <c r="AH139" s="11">
        <v>0</v>
      </c>
      <c r="AI139" s="11">
        <v>0</v>
      </c>
      <c r="AJ139" s="11">
        <v>0</v>
      </c>
      <c r="AK139" s="6"/>
      <c r="AL139" t="s">
        <v>1109</v>
      </c>
      <c r="AM139">
        <v>0</v>
      </c>
      <c r="AN139" s="6"/>
      <c r="AO139" s="20">
        <v>6.8723999999999998</v>
      </c>
      <c r="AP139" s="20">
        <v>7.3308999999999997</v>
      </c>
      <c r="AQ139" s="20">
        <v>1.1414</v>
      </c>
      <c r="AR139" s="20">
        <v>1.7182999999999999</v>
      </c>
      <c r="AS139" s="20">
        <v>0</v>
      </c>
      <c r="AT139" s="20">
        <v>0</v>
      </c>
      <c r="AU139" s="20">
        <v>0</v>
      </c>
      <c r="AV139" s="20">
        <v>1.8969</v>
      </c>
      <c r="AW139" s="6"/>
      <c r="AX139" s="18">
        <v>2.16E-3</v>
      </c>
      <c r="AY139" s="18">
        <v>1.07E-3</v>
      </c>
      <c r="AZ139" s="18">
        <v>0.6119</v>
      </c>
      <c r="BA139" s="18">
        <v>0.44500000000000001</v>
      </c>
      <c r="BB139" s="18">
        <v>1</v>
      </c>
      <c r="BC139" s="18">
        <v>1</v>
      </c>
      <c r="BD139" s="18">
        <v>1</v>
      </c>
      <c r="BE139" s="18">
        <v>0.3992</v>
      </c>
      <c r="BF139" s="13"/>
      <c r="BG139" t="s">
        <v>1125</v>
      </c>
      <c r="BH139" t="s">
        <v>1126</v>
      </c>
      <c r="BI139" t="s">
        <v>1113</v>
      </c>
      <c r="BJ139" t="s">
        <v>1114</v>
      </c>
      <c r="BK139" t="s">
        <v>1115</v>
      </c>
      <c r="BL139" t="s">
        <v>1116</v>
      </c>
      <c r="BM139" t="s">
        <v>1117</v>
      </c>
      <c r="BN139" s="13"/>
      <c r="BO139" t="s">
        <v>973</v>
      </c>
      <c r="BP139">
        <v>1</v>
      </c>
      <c r="BQ139" t="s">
        <v>973</v>
      </c>
      <c r="BR139" t="s">
        <v>973</v>
      </c>
    </row>
    <row r="140" spans="1:70" x14ac:dyDescent="0.25">
      <c r="A140" t="s">
        <v>912</v>
      </c>
      <c r="B140" t="s">
        <v>913</v>
      </c>
      <c r="C140" t="s">
        <v>585</v>
      </c>
      <c r="D140" s="6"/>
      <c r="E140" s="9" t="str">
        <f>HYPERLINK("http://plants.ensembl.org/Triticum_aestivum/Gene/Summary?g=TRIAE_CS42_7BS_TGACv1_592300_AA1935300","TRIAE_CS42_7BS_TGACv1_592300_AA1935300")</f>
        <v>TRIAE_CS42_7BS_TGACv1_592300_AA1935300</v>
      </c>
      <c r="H140" s="8" t="str">
        <f>HYPERLINK("http://plants.ensembl.org/Brachypodium_distachyon/Gene/Summary?g=Bradi3g40830","Bradi3g40830")</f>
        <v>Bradi3g40830</v>
      </c>
      <c r="I140" s="8" t="str">
        <f>HYPERLINK("http://plants.ensembl.org/Arabidopsis_thaliana/Gene/Summary?g=AT3G07390","AT3G07390")</f>
        <v>AT3G07390</v>
      </c>
      <c r="J140" s="9" t="str">
        <f>HYPERLINK("http://plants.ensembl.org/Oryza_sativa/Gene/Summary?db=otherfeatures;g=LOC_Os08g41290","LOC_Os08g41290")</f>
        <v>LOC_Os08g41290</v>
      </c>
      <c r="L140" s="6"/>
      <c r="M140" s="1" t="s">
        <v>973</v>
      </c>
      <c r="N140" s="1" t="s">
        <v>973</v>
      </c>
      <c r="O140" s="1" t="s">
        <v>973</v>
      </c>
      <c r="P140" s="1">
        <v>1</v>
      </c>
      <c r="Q140" s="1" t="s">
        <v>973</v>
      </c>
      <c r="R140" s="1" t="s">
        <v>973</v>
      </c>
      <c r="S140" s="1"/>
      <c r="T140" s="6"/>
      <c r="U140" s="11">
        <v>5.7062210941412017</v>
      </c>
      <c r="V140" s="11">
        <v>6.1455402432102826</v>
      </c>
      <c r="W140" s="11">
        <v>6.05428485937618</v>
      </c>
      <c r="X140" s="11">
        <v>5.9946423241166862</v>
      </c>
      <c r="Y140" s="11">
        <v>5.7815634251687076</v>
      </c>
      <c r="Z140" s="11">
        <v>5.2446917443592298</v>
      </c>
      <c r="AA140" s="11">
        <v>7.2217598154604046</v>
      </c>
      <c r="AB140" s="11">
        <v>5.3385741677419363</v>
      </c>
      <c r="AC140" s="11">
        <v>5.348336301630626</v>
      </c>
      <c r="AD140" s="11">
        <v>5.9598080146424071</v>
      </c>
      <c r="AE140" s="11">
        <v>5.9572398215515845</v>
      </c>
      <c r="AF140" s="11">
        <v>5.4843433256887124</v>
      </c>
      <c r="AG140" s="11">
        <v>5.3353260349673173</v>
      </c>
      <c r="AH140" s="11">
        <v>5.3861706027128919</v>
      </c>
      <c r="AI140" s="11">
        <v>5.710695329278126</v>
      </c>
      <c r="AJ140" s="11">
        <v>5.0524318351244739</v>
      </c>
      <c r="AK140" s="6"/>
      <c r="AL140" t="s">
        <v>1077</v>
      </c>
      <c r="AM140">
        <v>0</v>
      </c>
      <c r="AN140" s="6"/>
      <c r="AO140" s="20">
        <v>0.40739999999999998</v>
      </c>
      <c r="AP140" s="20">
        <v>0.245</v>
      </c>
      <c r="AQ140" s="20">
        <v>9.6600000000000005E-2</v>
      </c>
      <c r="AR140" s="20">
        <v>0.49490000000000001</v>
      </c>
      <c r="AS140" s="20">
        <v>0.44230000000000003</v>
      </c>
      <c r="AT140" s="20">
        <v>-0.12809999999999999</v>
      </c>
      <c r="AU140" s="20">
        <v>1.4972000000000001</v>
      </c>
      <c r="AV140" s="20">
        <v>0.2863</v>
      </c>
      <c r="AW140" s="6"/>
      <c r="AX140" s="18">
        <v>0.54749999999999999</v>
      </c>
      <c r="AY140" s="18">
        <v>0.72599999999999998</v>
      </c>
      <c r="AZ140" s="18">
        <v>0.88300000000000001</v>
      </c>
      <c r="BA140" s="18">
        <v>0.45419999999999999</v>
      </c>
      <c r="BB140" s="18">
        <v>0.50239999999999996</v>
      </c>
      <c r="BC140" s="18">
        <v>0.84730000000000005</v>
      </c>
      <c r="BD140" s="18">
        <v>2.2089999999999999E-2</v>
      </c>
      <c r="BE140" s="18">
        <v>0.66810000000000003</v>
      </c>
      <c r="BF140" s="13"/>
      <c r="BG140" t="s">
        <v>1111</v>
      </c>
      <c r="BH140" t="s">
        <v>1112</v>
      </c>
      <c r="BI140" t="s">
        <v>1113</v>
      </c>
      <c r="BJ140" t="s">
        <v>1217</v>
      </c>
      <c r="BK140" t="s">
        <v>1115</v>
      </c>
      <c r="BL140" t="s">
        <v>1116</v>
      </c>
      <c r="BM140" t="s">
        <v>1117</v>
      </c>
      <c r="BN140" s="13"/>
      <c r="BO140" t="s">
        <v>973</v>
      </c>
      <c r="BP140" t="s">
        <v>973</v>
      </c>
      <c r="BQ140" t="s">
        <v>973</v>
      </c>
      <c r="BR140" t="s">
        <v>973</v>
      </c>
    </row>
    <row r="141" spans="1:70" x14ac:dyDescent="0.25">
      <c r="A141" t="s">
        <v>946</v>
      </c>
      <c r="B141" t="s">
        <v>913</v>
      </c>
      <c r="C141" t="s">
        <v>585</v>
      </c>
      <c r="D141" s="6"/>
      <c r="E141" s="9" t="str">
        <f>HYPERLINK("http://plants.ensembl.org/Triticum_aestivum/Gene/Summary?g=TRIAE_CS42_7DS_TGACv1_621987_AA2030710","TRIAE_CS42_7DS_TGACv1_621987_AA2030710")</f>
        <v>TRIAE_CS42_7DS_TGACv1_621987_AA2030710</v>
      </c>
      <c r="H141" s="8" t="str">
        <f>HYPERLINK("http://plants.ensembl.org/Brachypodium_distachyon/Gene/Summary?g=Bradi3g40830","Bradi3g40830")</f>
        <v>Bradi3g40830</v>
      </c>
      <c r="I141" s="1" t="s">
        <v>1051</v>
      </c>
      <c r="J141" s="9" t="str">
        <f>HYPERLINK("http://plants.ensembl.org/Oryza_sativa/Gene/Summary?db=otherfeatures;g=LOC_Os08g41290","LOC_Os08g41290")</f>
        <v>LOC_Os08g41290</v>
      </c>
      <c r="L141" s="6"/>
      <c r="M141" s="1" t="s">
        <v>973</v>
      </c>
      <c r="N141" s="1" t="s">
        <v>973</v>
      </c>
      <c r="O141" s="1" t="s">
        <v>973</v>
      </c>
      <c r="P141" s="1">
        <v>1</v>
      </c>
      <c r="Q141" s="1" t="s">
        <v>973</v>
      </c>
      <c r="R141" s="1" t="s">
        <v>973</v>
      </c>
      <c r="S141" s="1"/>
      <c r="T141" s="6"/>
      <c r="U141" s="11">
        <v>7.2785721169322608</v>
      </c>
      <c r="V141" s="11">
        <v>7.89950173907304</v>
      </c>
      <c r="W141" s="11">
        <v>7.0806796901403661</v>
      </c>
      <c r="X141" s="11">
        <v>6.8706659688885168</v>
      </c>
      <c r="Y141" s="11">
        <v>6.4094050801373967</v>
      </c>
      <c r="Z141" s="11">
        <v>6.5168083691350436</v>
      </c>
      <c r="AA141" s="11">
        <v>8.011487252611813</v>
      </c>
      <c r="AB141" s="11">
        <v>6.7596019454314114</v>
      </c>
      <c r="AC141" s="11">
        <v>6.4819646091103387</v>
      </c>
      <c r="AD141" s="11">
        <v>6.0021061491844669</v>
      </c>
      <c r="AE141" s="11">
        <v>6.5426919281977671</v>
      </c>
      <c r="AF141" s="11">
        <v>6.1432233308793123</v>
      </c>
      <c r="AG141" s="11">
        <v>6.390718122147673</v>
      </c>
      <c r="AH141" s="11">
        <v>5.8538542973770165</v>
      </c>
      <c r="AI141" s="11">
        <v>6.8368709109628307</v>
      </c>
      <c r="AJ141" s="11">
        <v>6.5960644934627117</v>
      </c>
      <c r="AK141" s="6"/>
      <c r="AL141" t="s">
        <v>1077</v>
      </c>
      <c r="AM141">
        <v>0</v>
      </c>
      <c r="AN141" s="6"/>
      <c r="AO141" s="20">
        <v>0.83460000000000001</v>
      </c>
      <c r="AP141" s="20">
        <v>1.7487999999999999</v>
      </c>
      <c r="AQ141" s="20">
        <v>0.53849999999999998</v>
      </c>
      <c r="AR141" s="20">
        <v>0.71879999999999999</v>
      </c>
      <c r="AS141" s="20">
        <v>1.7399999999999999E-2</v>
      </c>
      <c r="AT141" s="20">
        <v>0.67810000000000004</v>
      </c>
      <c r="AU141" s="20">
        <v>1.1722999999999999</v>
      </c>
      <c r="AV141" s="20">
        <v>0.16239999999999999</v>
      </c>
      <c r="AW141" s="6"/>
      <c r="AX141" s="18">
        <v>3.3750000000000002E-2</v>
      </c>
      <c r="AY141" s="18">
        <v>2.847E-5</v>
      </c>
      <c r="AZ141" s="18">
        <v>0.16020000000000001</v>
      </c>
      <c r="BA141" s="18">
        <v>6.4350000000000004E-2</v>
      </c>
      <c r="BB141" s="18">
        <v>0.96399999999999997</v>
      </c>
      <c r="BC141" s="18">
        <v>8.3769999999999997E-2</v>
      </c>
      <c r="BD141" s="18">
        <v>1.9859999999999999E-3</v>
      </c>
      <c r="BE141" s="18">
        <v>0.67379999999999995</v>
      </c>
      <c r="BF141" s="13"/>
      <c r="BG141" t="s">
        <v>1235</v>
      </c>
      <c r="BH141" t="s">
        <v>1126</v>
      </c>
      <c r="BI141" t="s">
        <v>1113</v>
      </c>
      <c r="BJ141" t="s">
        <v>1217</v>
      </c>
      <c r="BK141" t="s">
        <v>1115</v>
      </c>
      <c r="BL141" t="s">
        <v>1226</v>
      </c>
      <c r="BM141" t="s">
        <v>1117</v>
      </c>
      <c r="BN141" s="13"/>
      <c r="BO141" t="s">
        <v>973</v>
      </c>
      <c r="BP141" t="s">
        <v>973</v>
      </c>
      <c r="BQ141" t="s">
        <v>973</v>
      </c>
      <c r="BR141" t="s">
        <v>973</v>
      </c>
    </row>
    <row r="142" spans="1:70" x14ac:dyDescent="0.25">
      <c r="A142" t="s">
        <v>485</v>
      </c>
      <c r="B142" t="s">
        <v>486</v>
      </c>
      <c r="C142" t="s">
        <v>487</v>
      </c>
      <c r="D142" s="6"/>
      <c r="E142" s="9" t="str">
        <f>HYPERLINK("http://plants.ensembl.org/Triticum_aestivum/Gene/Summary?g=TRIAE_CS42_4AS_TGACv1_308149_AA1026380","TRIAE_CS42_4AS_TGACv1_308149_AA1026380")</f>
        <v>TRIAE_CS42_4AS_TGACv1_308149_AA1026380</v>
      </c>
      <c r="F142" s="9" t="str">
        <f>HYPERLINK("http://mar2016-plants.ensembl.org/Triticum_aestivum/Gene/Summary?db=core;g=Traes_4AS_D66D1E74F","Traes_4AS_D66D1E74F")</f>
        <v>Traes_4AS_D66D1E74F</v>
      </c>
      <c r="H142" s="8" t="str">
        <f>HYPERLINK("http://plants.ensembl.org/Brachypodium_distachyon/Gene/Summary?g=Bradi1g62860","Bradi1g62860")</f>
        <v>Bradi1g62860</v>
      </c>
      <c r="I142" s="8" t="str">
        <f>HYPERLINK("http://plants.ensembl.org/Arabidopsis_thaliana/Gene/Summary?g=AT1G56220","AT1G56220")</f>
        <v>AT1G56220</v>
      </c>
      <c r="J142" s="9" t="str">
        <f>HYPERLINK("http://plants.ensembl.org/Oryza_sativa/Gene/Summary?db=otherfeatures;g=LOC_Os03g22270","LOC_Os03g22270")</f>
        <v>LOC_Os03g22270</v>
      </c>
      <c r="L142" s="6"/>
      <c r="M142" s="1" t="s">
        <v>973</v>
      </c>
      <c r="N142" s="1" t="s">
        <v>973</v>
      </c>
      <c r="O142" s="1" t="s">
        <v>973</v>
      </c>
      <c r="P142" s="1">
        <v>1</v>
      </c>
      <c r="Q142" s="1" t="s">
        <v>973</v>
      </c>
      <c r="R142" s="1" t="s">
        <v>973</v>
      </c>
      <c r="S142" s="1"/>
      <c r="T142" s="6"/>
      <c r="U142" s="11">
        <v>7.0230002406781438</v>
      </c>
      <c r="V142" s="11">
        <v>7.7054794132623412</v>
      </c>
      <c r="W142" s="11">
        <v>6.1933913105329141</v>
      </c>
      <c r="X142" s="11">
        <v>6.7325206631764756</v>
      </c>
      <c r="Y142" s="11">
        <v>6.4360457641598705</v>
      </c>
      <c r="Z142" s="11">
        <v>6.174636781766516</v>
      </c>
      <c r="AA142" s="11">
        <v>6.6257351400508595</v>
      </c>
      <c r="AB142" s="11">
        <v>5.5950719490714338</v>
      </c>
      <c r="AC142" s="11">
        <v>6.8362187122704894</v>
      </c>
      <c r="AD142" s="11">
        <v>6.7446522280921686</v>
      </c>
      <c r="AE142" s="11">
        <v>6.0637754352211877</v>
      </c>
      <c r="AF142" s="11">
        <v>5.6710291184207779</v>
      </c>
      <c r="AG142" s="11">
        <v>6.2328666586758033</v>
      </c>
      <c r="AH142" s="11">
        <v>5.3660155725322261</v>
      </c>
      <c r="AI142" s="11">
        <v>5.8464791079142415</v>
      </c>
      <c r="AJ142" s="11">
        <v>5.7015998811997894</v>
      </c>
      <c r="AK142" s="6"/>
      <c r="AL142" t="s">
        <v>1090</v>
      </c>
      <c r="AM142">
        <v>0</v>
      </c>
      <c r="AN142" s="6"/>
      <c r="AO142" s="20">
        <v>0.20660000000000001</v>
      </c>
      <c r="AP142" s="20">
        <v>0.85389999999999999</v>
      </c>
      <c r="AQ142" s="20">
        <v>0.1313</v>
      </c>
      <c r="AR142" s="20">
        <v>1.0489999999999999</v>
      </c>
      <c r="AS142" s="20">
        <v>0.20530000000000001</v>
      </c>
      <c r="AT142" s="20">
        <v>0.82909999999999995</v>
      </c>
      <c r="AU142" s="20">
        <v>0.7843</v>
      </c>
      <c r="AV142" s="20">
        <v>-0.11</v>
      </c>
      <c r="AW142" s="6"/>
      <c r="AX142" s="18">
        <v>0.55589999999999995</v>
      </c>
      <c r="AY142" s="18">
        <v>2.1219999999999999E-2</v>
      </c>
      <c r="AZ142" s="18">
        <v>0.7056</v>
      </c>
      <c r="BA142" s="18">
        <v>2.7799999999999999E-3</v>
      </c>
      <c r="BB142" s="18">
        <v>0.54969999999999997</v>
      </c>
      <c r="BC142" s="18">
        <v>2.0490000000000001E-2</v>
      </c>
      <c r="BD142" s="18">
        <v>2.3189999999999999E-2</v>
      </c>
      <c r="BE142" s="18">
        <v>0.75980000000000003</v>
      </c>
      <c r="BF142" s="13"/>
      <c r="BG142" t="s">
        <v>1153</v>
      </c>
      <c r="BH142" t="s">
        <v>1269</v>
      </c>
      <c r="BI142" t="s">
        <v>1162</v>
      </c>
      <c r="BJ142" t="s">
        <v>1114</v>
      </c>
      <c r="BK142" t="s">
        <v>1115</v>
      </c>
      <c r="BL142" t="s">
        <v>1326</v>
      </c>
      <c r="BM142" t="s">
        <v>1117</v>
      </c>
      <c r="BN142" s="13"/>
      <c r="BO142" t="s">
        <v>973</v>
      </c>
      <c r="BP142" t="s">
        <v>973</v>
      </c>
      <c r="BQ142" t="s">
        <v>973</v>
      </c>
      <c r="BR142" t="s">
        <v>973</v>
      </c>
    </row>
    <row r="143" spans="1:70" x14ac:dyDescent="0.25">
      <c r="A143" t="s">
        <v>517</v>
      </c>
      <c r="B143" t="s">
        <v>486</v>
      </c>
      <c r="C143" t="s">
        <v>487</v>
      </c>
      <c r="D143" s="6"/>
      <c r="E143" s="9" t="str">
        <f>HYPERLINK("http://plants.ensembl.org/Triticum_aestivum/Gene/Summary?g=TRIAE_CS42_4AL_TGACv1_290021_AA0980540","TRIAE_CS42_4AL_TGACv1_290021_AA0980540")</f>
        <v>TRIAE_CS42_4AL_TGACv1_290021_AA0980540</v>
      </c>
      <c r="F143" s="9" t="str">
        <f>HYPERLINK("http://mar2016-plants.ensembl.org/Triticum_aestivum/Gene/Summary?db=core;g=Traes_4AL_94E76D27B","Traes_4AL_94E76D27B")</f>
        <v>Traes_4AL_94E76D27B</v>
      </c>
      <c r="H143" s="1" t="s">
        <v>1051</v>
      </c>
      <c r="I143" s="1" t="s">
        <v>1051</v>
      </c>
      <c r="J143" s="1" t="s">
        <v>1051</v>
      </c>
      <c r="L143" s="6"/>
      <c r="M143" s="1" t="s">
        <v>973</v>
      </c>
      <c r="N143" s="1" t="s">
        <v>973</v>
      </c>
      <c r="O143" s="1" t="s">
        <v>973</v>
      </c>
      <c r="P143" s="1">
        <v>1</v>
      </c>
      <c r="Q143" s="1" t="s">
        <v>973</v>
      </c>
      <c r="R143" s="1" t="s">
        <v>973</v>
      </c>
      <c r="S143" s="1"/>
      <c r="T143" s="6"/>
      <c r="U143" s="11">
        <v>5.21035639201137</v>
      </c>
      <c r="V143" s="11">
        <v>6.8794954395990651</v>
      </c>
      <c r="W143" s="11">
        <v>3.6118687668333247</v>
      </c>
      <c r="X143" s="11">
        <v>3.6665786106523446</v>
      </c>
      <c r="Y143" s="11">
        <v>5.4936910940364676</v>
      </c>
      <c r="Z143" s="11">
        <v>4.1594704203574118</v>
      </c>
      <c r="AA143" s="11">
        <v>4.9245005786139853</v>
      </c>
      <c r="AB143" s="11">
        <v>2.978335986584622</v>
      </c>
      <c r="AC143" s="11">
        <v>5.7537917065462407</v>
      </c>
      <c r="AD143" s="11">
        <v>5.5184060963510939</v>
      </c>
      <c r="AE143" s="11">
        <v>3.4426516107752239</v>
      </c>
      <c r="AF143" s="11">
        <v>3.4103411046140875</v>
      </c>
      <c r="AG143" s="11">
        <v>5.8849877638931423</v>
      </c>
      <c r="AH143" s="11">
        <v>3.8922712011472944</v>
      </c>
      <c r="AI143" s="11">
        <v>4.2942310767186616</v>
      </c>
      <c r="AJ143" s="11">
        <v>3.6181524985958999</v>
      </c>
      <c r="AK143" s="6"/>
      <c r="AL143" t="s">
        <v>1109</v>
      </c>
      <c r="AM143">
        <v>0</v>
      </c>
      <c r="AN143" s="6"/>
      <c r="AO143" s="20">
        <v>-0.50819999999999999</v>
      </c>
      <c r="AP143" s="20">
        <v>1.3367</v>
      </c>
      <c r="AQ143" s="20">
        <v>0.1845</v>
      </c>
      <c r="AR143" s="20">
        <v>0.21029999999999999</v>
      </c>
      <c r="AS143" s="20">
        <v>-0.39360000000000001</v>
      </c>
      <c r="AT143" s="20">
        <v>0.28389999999999999</v>
      </c>
      <c r="AU143" s="20">
        <v>0.63680000000000003</v>
      </c>
      <c r="AV143" s="20">
        <v>-0.68740000000000001</v>
      </c>
      <c r="AW143" s="6"/>
      <c r="AX143" s="18">
        <v>0.44379999999999997</v>
      </c>
      <c r="AY143" s="18">
        <v>4.7820000000000001E-2</v>
      </c>
      <c r="AZ143" s="18">
        <v>0.7903</v>
      </c>
      <c r="BA143" s="18">
        <v>0.76370000000000005</v>
      </c>
      <c r="BB143" s="18">
        <v>0.53790000000000004</v>
      </c>
      <c r="BC143" s="18">
        <v>0.67490000000000006</v>
      </c>
      <c r="BD143" s="18">
        <v>0.33129999999999998</v>
      </c>
      <c r="BE143" s="18">
        <v>0.3382</v>
      </c>
      <c r="BF143" s="13"/>
      <c r="BG143" t="s">
        <v>1111</v>
      </c>
      <c r="BH143" t="s">
        <v>1126</v>
      </c>
      <c r="BI143" t="s">
        <v>1113</v>
      </c>
      <c r="BJ143" t="s">
        <v>1114</v>
      </c>
      <c r="BK143" t="s">
        <v>1115</v>
      </c>
      <c r="BL143" t="s">
        <v>1116</v>
      </c>
      <c r="BM143" t="s">
        <v>1117</v>
      </c>
      <c r="BN143" s="13"/>
      <c r="BO143" t="s">
        <v>973</v>
      </c>
      <c r="BP143" t="s">
        <v>973</v>
      </c>
      <c r="BQ143" t="s">
        <v>973</v>
      </c>
      <c r="BR143" t="s">
        <v>973</v>
      </c>
    </row>
    <row r="144" spans="1:70" x14ac:dyDescent="0.25">
      <c r="A144" t="s">
        <v>576</v>
      </c>
      <c r="B144" t="s">
        <v>486</v>
      </c>
      <c r="C144" t="s">
        <v>487</v>
      </c>
      <c r="D144" s="6"/>
      <c r="E144" s="9" t="str">
        <f>HYPERLINK("http://plants.ensembl.org/Triticum_aestivum/Gene/Summary?g=TRIAE_CS42_4DL_TGACv1_342547_AA1116290","TRIAE_CS42_4DL_TGACv1_342547_AA1116290")</f>
        <v>TRIAE_CS42_4DL_TGACv1_342547_AA1116290</v>
      </c>
      <c r="F144" s="9" t="str">
        <f>HYPERLINK("http://mar2016-plants.ensembl.org/Triticum_aestivum/Gene/Summary?db=core;g=Traes_4DL_5228A58E3","Traes_4DL_5228A58E3")</f>
        <v>Traes_4DL_5228A58E3</v>
      </c>
      <c r="H144" s="8" t="str">
        <f>HYPERLINK("http://plants.ensembl.org/Brachypodium_distachyon/Gene/Summary?g=Bradi1g62860","Bradi1g62860")</f>
        <v>Bradi1g62860</v>
      </c>
      <c r="I144" s="8" t="str">
        <f>HYPERLINK("http://plants.ensembl.org/Arabidopsis_thaliana/Gene/Summary?g=AT1G56220","AT1G56220")</f>
        <v>AT1G56220</v>
      </c>
      <c r="J144" s="9" t="str">
        <f>HYPERLINK("http://plants.ensembl.org/Oryza_sativa/Gene/Summary?db=otherfeatures;g=LOC_Os03g22270","LOC_Os03g22270")</f>
        <v>LOC_Os03g22270</v>
      </c>
      <c r="L144" s="6"/>
      <c r="M144" s="1" t="s">
        <v>973</v>
      </c>
      <c r="N144" s="1" t="s">
        <v>973</v>
      </c>
      <c r="O144" s="1" t="s">
        <v>973</v>
      </c>
      <c r="P144" s="1">
        <v>1</v>
      </c>
      <c r="Q144" s="1" t="s">
        <v>973</v>
      </c>
      <c r="R144" s="1" t="s">
        <v>973</v>
      </c>
      <c r="S144" s="1"/>
      <c r="T144" s="6"/>
      <c r="U144" s="11">
        <v>6.8181816395406649</v>
      </c>
      <c r="V144" s="11">
        <v>6.4892587229289234</v>
      </c>
      <c r="W144" s="11">
        <v>5.8633875911545514</v>
      </c>
      <c r="X144" s="11">
        <v>6.2887024595036136</v>
      </c>
      <c r="Y144" s="11">
        <v>6.3122676371425941</v>
      </c>
      <c r="Z144" s="11">
        <v>5.8016777535205639</v>
      </c>
      <c r="AA144" s="11">
        <v>6.9219047910295082</v>
      </c>
      <c r="AB144" s="11">
        <v>5.6922263138173035</v>
      </c>
      <c r="AC144" s="11">
        <v>7.2802099738811146</v>
      </c>
      <c r="AD144" s="11">
        <v>7.2937925696799892</v>
      </c>
      <c r="AE144" s="11">
        <v>5.68478788643516</v>
      </c>
      <c r="AF144" s="11">
        <v>5.0598743882814121</v>
      </c>
      <c r="AG144" s="11">
        <v>6.2844937748731704</v>
      </c>
      <c r="AH144" s="11">
        <v>5.5551862697413563</v>
      </c>
      <c r="AI144" s="11">
        <v>6.3774465490071783</v>
      </c>
      <c r="AJ144" s="11">
        <v>5.9161079616796455</v>
      </c>
      <c r="AK144" s="6"/>
      <c r="AL144" t="s">
        <v>1092</v>
      </c>
      <c r="AM144">
        <v>0</v>
      </c>
      <c r="AN144" s="6"/>
      <c r="AO144" s="20">
        <v>-0.46739999999999998</v>
      </c>
      <c r="AP144" s="20">
        <v>-0.89129999999999998</v>
      </c>
      <c r="AQ144" s="20">
        <v>0.17449999999999999</v>
      </c>
      <c r="AR144" s="20">
        <v>1.1951000000000001</v>
      </c>
      <c r="AS144" s="20">
        <v>3.04E-2</v>
      </c>
      <c r="AT144" s="20">
        <v>0.2477</v>
      </c>
      <c r="AU144" s="20">
        <v>0.54390000000000005</v>
      </c>
      <c r="AV144" s="20">
        <v>-0.22939999999999999</v>
      </c>
      <c r="AW144" s="6"/>
      <c r="AX144" s="18">
        <v>0.16600000000000001</v>
      </c>
      <c r="AY144" s="18">
        <v>1.7479999999999999E-2</v>
      </c>
      <c r="AZ144" s="18">
        <v>0.60799999999999998</v>
      </c>
      <c r="BA144" s="18">
        <v>6.0709999999999996E-4</v>
      </c>
      <c r="BB144" s="18">
        <v>0.92669999999999997</v>
      </c>
      <c r="BC144" s="18">
        <v>0.47249999999999998</v>
      </c>
      <c r="BD144" s="18">
        <v>9.5200000000000007E-2</v>
      </c>
      <c r="BE144" s="18">
        <v>0.50370000000000004</v>
      </c>
      <c r="BF144" s="13"/>
      <c r="BG144" t="s">
        <v>1111</v>
      </c>
      <c r="BH144" t="s">
        <v>1112</v>
      </c>
      <c r="BI144" t="s">
        <v>1165</v>
      </c>
      <c r="BJ144" t="s">
        <v>1217</v>
      </c>
      <c r="BK144" t="s">
        <v>1115</v>
      </c>
      <c r="BL144" t="s">
        <v>1214</v>
      </c>
      <c r="BM144" t="s">
        <v>1117</v>
      </c>
      <c r="BN144" s="13"/>
      <c r="BO144" t="s">
        <v>973</v>
      </c>
      <c r="BP144" t="s">
        <v>973</v>
      </c>
      <c r="BQ144" t="s">
        <v>973</v>
      </c>
      <c r="BR144" t="s">
        <v>973</v>
      </c>
    </row>
    <row r="145" spans="1:70" x14ac:dyDescent="0.25">
      <c r="A145" t="s">
        <v>79</v>
      </c>
      <c r="B145" t="s">
        <v>80</v>
      </c>
      <c r="C145" t="s">
        <v>81</v>
      </c>
      <c r="D145" s="6"/>
      <c r="E145" s="9" t="str">
        <f>HYPERLINK("http://plants.ensembl.org/Triticum_aestivum/Gene/Summary?g=TRIAE_CS42_1BL_TGACv1_035341_AA0146450","TRIAE_CS42_1BL_TGACv1_035341_AA0146450")</f>
        <v>TRIAE_CS42_1BL_TGACv1_035341_AA0146450</v>
      </c>
      <c r="H145" s="8" t="str">
        <f>HYPERLINK("http://plants.ensembl.org/Brachypodium_distachyon/Gene/Summary?g=Bradi3g30660","Bradi3g30660")</f>
        <v>Bradi3g30660</v>
      </c>
      <c r="I145" s="1" t="s">
        <v>1051</v>
      </c>
      <c r="J145" s="9" t="str">
        <f>HYPERLINK("http://plants.ensembl.org/Oryza_sativa/Gene/Summary?db=otherfeatures;g=LOC_Os10g36703","LOC_Os10g36703")</f>
        <v>LOC_Os10g36703</v>
      </c>
      <c r="L145" s="6"/>
      <c r="M145" s="1" t="s">
        <v>973</v>
      </c>
      <c r="N145" s="1" t="s">
        <v>973</v>
      </c>
      <c r="O145" s="1" t="s">
        <v>973</v>
      </c>
      <c r="P145" s="1">
        <v>1</v>
      </c>
      <c r="Q145" s="1" t="s">
        <v>973</v>
      </c>
      <c r="R145" s="1" t="s">
        <v>973</v>
      </c>
      <c r="S145" s="1"/>
      <c r="T145" s="6"/>
      <c r="U145" s="11">
        <v>6.8445354656153086</v>
      </c>
      <c r="V145" s="11">
        <v>8.3504109067459051</v>
      </c>
      <c r="W145" s="11">
        <v>5.747323839461413</v>
      </c>
      <c r="X145" s="11">
        <v>6.3052427903021417</v>
      </c>
      <c r="Y145" s="11">
        <v>6.1086756878968078</v>
      </c>
      <c r="Z145" s="11">
        <v>5.4539345462743851</v>
      </c>
      <c r="AA145" s="11">
        <v>5.4655054579889839</v>
      </c>
      <c r="AB145" s="11">
        <v>4.7724681012795251</v>
      </c>
      <c r="AC145" s="11">
        <v>2.402804021822087</v>
      </c>
      <c r="AD145" s="11">
        <v>1.3910711289010056</v>
      </c>
      <c r="AE145" s="11">
        <v>1.9031411324024203</v>
      </c>
      <c r="AF145" s="11">
        <v>1.9713074921037017</v>
      </c>
      <c r="AG145" s="11">
        <v>1.7805060850569749</v>
      </c>
      <c r="AH145" s="11">
        <v>1.191162548439751</v>
      </c>
      <c r="AI145" s="11">
        <v>1.6793937698046544</v>
      </c>
      <c r="AJ145" s="11">
        <v>0.82578562746479145</v>
      </c>
      <c r="AK145" s="6"/>
      <c r="AL145" t="s">
        <v>1077</v>
      </c>
      <c r="AM145" s="12">
        <v>4113</v>
      </c>
      <c r="AN145" s="6"/>
      <c r="AO145" s="20">
        <v>4.7526000000000002</v>
      </c>
      <c r="AP145" s="20">
        <v>6.8857999999999997</v>
      </c>
      <c r="AQ145" s="20">
        <v>4.1325000000000003</v>
      </c>
      <c r="AR145" s="20">
        <v>4.5114000000000001</v>
      </c>
      <c r="AS145" s="20">
        <v>4.6536999999999997</v>
      </c>
      <c r="AT145" s="20">
        <v>4.6877000000000004</v>
      </c>
      <c r="AU145" s="20">
        <v>4.1703999999999999</v>
      </c>
      <c r="AV145" s="20">
        <v>4.7314999999999996</v>
      </c>
      <c r="AW145" s="6"/>
      <c r="AX145" s="18">
        <v>3.499E-9</v>
      </c>
      <c r="AY145" s="18">
        <v>1.006E-13</v>
      </c>
      <c r="AZ145" s="18">
        <v>4.6489999999999999E-7</v>
      </c>
      <c r="BA145" s="18">
        <v>3.0710000000000002E-8</v>
      </c>
      <c r="BB145" s="18">
        <v>4.6580000000000003E-9</v>
      </c>
      <c r="BC145" s="18">
        <v>2.7939999999999997E-7</v>
      </c>
      <c r="BD145" s="18">
        <v>6.8299999999999996E-7</v>
      </c>
      <c r="BE145" s="18">
        <v>1.5489999999999999E-6</v>
      </c>
      <c r="BF145" s="13"/>
      <c r="BG145" t="s">
        <v>1191</v>
      </c>
      <c r="BH145" t="s">
        <v>1126</v>
      </c>
      <c r="BI145" t="s">
        <v>1113</v>
      </c>
      <c r="BJ145" t="s">
        <v>1114</v>
      </c>
      <c r="BK145" t="s">
        <v>1115</v>
      </c>
      <c r="BL145" t="s">
        <v>1116</v>
      </c>
      <c r="BM145" t="s">
        <v>1117</v>
      </c>
      <c r="BN145" s="13"/>
      <c r="BO145" t="s">
        <v>973</v>
      </c>
      <c r="BP145" t="s">
        <v>973</v>
      </c>
      <c r="BQ145" t="s">
        <v>973</v>
      </c>
      <c r="BR145" t="s">
        <v>973</v>
      </c>
    </row>
    <row r="146" spans="1:70" x14ac:dyDescent="0.25">
      <c r="A146" t="s">
        <v>107</v>
      </c>
      <c r="B146" t="s">
        <v>80</v>
      </c>
      <c r="C146" t="s">
        <v>81</v>
      </c>
      <c r="D146" s="6"/>
      <c r="H146" s="8" t="str">
        <f>HYPERLINK("http://plants.ensembl.org/Brachypodium_distachyon/Gene/Summary?g=Bradi3g30660","Bradi3g30660")</f>
        <v>Bradi3g30660</v>
      </c>
      <c r="I146" s="1" t="s">
        <v>1051</v>
      </c>
      <c r="J146" s="9" t="str">
        <f>HYPERLINK("http://plants.ensembl.org/Oryza_sativa/Gene/Summary?db=otherfeatures;g=LOC_Os10g36703","LOC_Os10g36703")</f>
        <v>LOC_Os10g36703</v>
      </c>
      <c r="L146" s="6"/>
      <c r="M146" s="1" t="s">
        <v>973</v>
      </c>
      <c r="N146" s="1" t="s">
        <v>973</v>
      </c>
      <c r="O146" s="1" t="s">
        <v>973</v>
      </c>
      <c r="P146" s="1">
        <v>1</v>
      </c>
      <c r="Q146" s="1" t="s">
        <v>973</v>
      </c>
      <c r="R146" s="1" t="s">
        <v>973</v>
      </c>
      <c r="S146" s="1"/>
      <c r="T146" s="6"/>
      <c r="U146" s="11">
        <v>7.02232157206174</v>
      </c>
      <c r="V146" s="11">
        <v>7.7280796866432739</v>
      </c>
      <c r="W146" s="11">
        <v>6.7747773976842236</v>
      </c>
      <c r="X146" s="11">
        <v>6.7607886851883379</v>
      </c>
      <c r="Y146" s="11">
        <v>6.9727397475801105</v>
      </c>
      <c r="Z146" s="11">
        <v>6.2475148942826566</v>
      </c>
      <c r="AA146" s="11">
        <v>6.2852289617470349</v>
      </c>
      <c r="AB146" s="11">
        <v>5.8377986288467607</v>
      </c>
      <c r="AC146" s="11">
        <v>3.7708818910368329</v>
      </c>
      <c r="AD146" s="11">
        <v>4.925170263445616</v>
      </c>
      <c r="AE146" s="11">
        <v>5.0786254888545024</v>
      </c>
      <c r="AF146" s="11">
        <v>4.8589723000335816</v>
      </c>
      <c r="AG146" s="11">
        <v>4.9394742159872242</v>
      </c>
      <c r="AH146" s="11">
        <v>4.6127515537963806</v>
      </c>
      <c r="AI146" s="11">
        <v>4.3794730994911752</v>
      </c>
      <c r="AJ146" s="11">
        <v>3.9636282498273792</v>
      </c>
      <c r="AK146" s="6"/>
      <c r="AL146" t="s">
        <v>1077</v>
      </c>
      <c r="AM146">
        <v>426</v>
      </c>
      <c r="AN146" s="6"/>
      <c r="AO146" s="20">
        <v>3.3936999999999999</v>
      </c>
      <c r="AP146" s="20">
        <v>2.7873000000000001</v>
      </c>
      <c r="AQ146" s="20">
        <v>1.6995</v>
      </c>
      <c r="AR146" s="20">
        <v>1.883</v>
      </c>
      <c r="AS146" s="20">
        <v>2.0297999999999998</v>
      </c>
      <c r="AT146" s="20">
        <v>1.6417999999999999</v>
      </c>
      <c r="AU146" s="20">
        <v>1.9272</v>
      </c>
      <c r="AV146" s="20">
        <v>1.9047000000000001</v>
      </c>
      <c r="AW146" s="6"/>
      <c r="AX146" s="18">
        <v>3.3869999999999998E-8</v>
      </c>
      <c r="AY146" s="18">
        <v>7.0439999999999998E-6</v>
      </c>
      <c r="AZ146" s="18">
        <v>3.4299999999999999E-3</v>
      </c>
      <c r="BA146" s="18">
        <v>1.2930000000000001E-3</v>
      </c>
      <c r="BB146" s="18">
        <v>4.4049999999999997E-4</v>
      </c>
      <c r="BC146" s="18">
        <v>5.4000000000000003E-3</v>
      </c>
      <c r="BD146" s="18">
        <v>1.078E-3</v>
      </c>
      <c r="BE146" s="18">
        <v>1.529E-3</v>
      </c>
      <c r="BF146" s="13"/>
      <c r="BG146" t="s">
        <v>1260</v>
      </c>
      <c r="BH146" t="s">
        <v>1269</v>
      </c>
      <c r="BI146" t="s">
        <v>1113</v>
      </c>
      <c r="BJ146" t="s">
        <v>1114</v>
      </c>
      <c r="BK146" t="s">
        <v>1115</v>
      </c>
      <c r="BL146" t="s">
        <v>1116</v>
      </c>
      <c r="BM146" t="s">
        <v>1117</v>
      </c>
      <c r="BN146" s="13"/>
      <c r="BO146" t="s">
        <v>973</v>
      </c>
      <c r="BP146" t="s">
        <v>973</v>
      </c>
      <c r="BQ146" t="s">
        <v>973</v>
      </c>
      <c r="BR146" t="s">
        <v>973</v>
      </c>
    </row>
    <row r="147" spans="1:70" x14ac:dyDescent="0.25">
      <c r="A147" t="s">
        <v>781</v>
      </c>
      <c r="B147" t="s">
        <v>80</v>
      </c>
      <c r="C147" t="s">
        <v>81</v>
      </c>
      <c r="D147" s="6"/>
      <c r="E147" s="9" t="str">
        <f>HYPERLINK("http://plants.ensembl.org/Triticum_aestivum/Gene/Summary?g=TRIAE_CS42_6AL_TGACv1_471773_AA1514090","TRIAE_CS42_6AL_TGACv1_471773_AA1514090")</f>
        <v>TRIAE_CS42_6AL_TGACv1_471773_AA1514090</v>
      </c>
      <c r="F147" s="9" t="str">
        <f>HYPERLINK("http://mar2016-plants.ensembl.org/Triticum_aestivum/Gene/Summary?db=core;g=Traes_6AL_FCAF69BCA","Traes_6AL_FCAF69BCA")</f>
        <v>Traes_6AL_FCAF69BCA</v>
      </c>
      <c r="H147" s="8" t="str">
        <f>HYPERLINK("http://plants.ensembl.org/Brachypodium_distachyon/Gene/Summary?g=Bradi3g49010","Bradi3g49010")</f>
        <v>Bradi3g49010</v>
      </c>
      <c r="I147" s="1" t="s">
        <v>1051</v>
      </c>
      <c r="J147" s="9" t="str">
        <f>HYPERLINK("http://plants.ensembl.org/Oryza_sativa/Gene/Summary?db=otherfeatures;g=LOC_Os10g36703","LOC_Os10g36703")</f>
        <v>LOC_Os10g36703</v>
      </c>
      <c r="L147" s="6"/>
      <c r="M147" s="1" t="s">
        <v>973</v>
      </c>
      <c r="N147" s="1" t="s">
        <v>973</v>
      </c>
      <c r="O147" s="1" t="s">
        <v>973</v>
      </c>
      <c r="P147" s="1">
        <v>1</v>
      </c>
      <c r="Q147" s="1" t="s">
        <v>973</v>
      </c>
      <c r="R147" s="1" t="s">
        <v>973</v>
      </c>
      <c r="S147" s="1"/>
      <c r="T147" s="6"/>
      <c r="U147" s="11">
        <v>7.0067382315891464</v>
      </c>
      <c r="V147" s="11">
        <v>8.073740628711775</v>
      </c>
      <c r="W147" s="11">
        <v>4.4632998457506083</v>
      </c>
      <c r="X147" s="11">
        <v>4.8932780672803835</v>
      </c>
      <c r="Y147" s="11">
        <v>6.2741728103768795</v>
      </c>
      <c r="Z147" s="11">
        <v>5.134318156822836</v>
      </c>
      <c r="AA147" s="11">
        <v>5.4695235208922135</v>
      </c>
      <c r="AB147" s="11">
        <v>4.5584880629770117</v>
      </c>
      <c r="AC147" s="11">
        <v>2.6575790342399812</v>
      </c>
      <c r="AD147" s="11">
        <v>2.3472120855856451</v>
      </c>
      <c r="AE147" s="11">
        <v>1.5358538940958997</v>
      </c>
      <c r="AF147" s="11">
        <v>2.4270697552107863</v>
      </c>
      <c r="AG147" s="11">
        <v>0.87947052508695944</v>
      </c>
      <c r="AH147" s="11">
        <v>1.6715349338443937</v>
      </c>
      <c r="AI147" s="11">
        <v>2.4999691618345197</v>
      </c>
      <c r="AJ147" s="11">
        <v>2.1076209213554353</v>
      </c>
      <c r="AK147" s="6"/>
      <c r="AL147" t="s">
        <v>1077</v>
      </c>
      <c r="AM147">
        <v>571</v>
      </c>
      <c r="AN147" s="6"/>
      <c r="AO147" s="20">
        <v>4.5711000000000004</v>
      </c>
      <c r="AP147" s="20">
        <v>6.5277000000000003</v>
      </c>
      <c r="AQ147" s="20">
        <v>3.3437999999999999</v>
      </c>
      <c r="AR147" s="20">
        <v>2.6539000000000001</v>
      </c>
      <c r="AS147" s="20">
        <v>6.3872999999999998</v>
      </c>
      <c r="AT147" s="20">
        <v>3.7501000000000002</v>
      </c>
      <c r="AU147" s="20">
        <v>3.121</v>
      </c>
      <c r="AV147" s="20">
        <v>2.6797</v>
      </c>
      <c r="AW147" s="6"/>
      <c r="AX147" s="18">
        <v>1.079E-10</v>
      </c>
      <c r="AY147" s="18">
        <v>1.4879999999999999E-14</v>
      </c>
      <c r="AZ147" s="18">
        <v>2.9E-5</v>
      </c>
      <c r="BA147" s="18">
        <v>2.2670000000000001E-4</v>
      </c>
      <c r="BB147" s="18">
        <v>1.2200000000000001E-13</v>
      </c>
      <c r="BC147" s="18">
        <v>1.762E-6</v>
      </c>
      <c r="BD147" s="18">
        <v>7.7100000000000007E-6</v>
      </c>
      <c r="BE147" s="18">
        <v>2.7500000000000002E-4</v>
      </c>
      <c r="BF147" s="13"/>
      <c r="BG147" t="s">
        <v>1191</v>
      </c>
      <c r="BH147" t="s">
        <v>1211</v>
      </c>
      <c r="BI147" t="s">
        <v>1113</v>
      </c>
      <c r="BJ147" t="s">
        <v>1114</v>
      </c>
      <c r="BK147" t="s">
        <v>1115</v>
      </c>
      <c r="BL147" t="s">
        <v>1116</v>
      </c>
      <c r="BM147" t="s">
        <v>1117</v>
      </c>
      <c r="BN147" s="13"/>
      <c r="BO147" t="s">
        <v>973</v>
      </c>
      <c r="BP147" t="s">
        <v>973</v>
      </c>
      <c r="BQ147" t="s">
        <v>973</v>
      </c>
      <c r="BR147" t="s">
        <v>973</v>
      </c>
    </row>
    <row r="148" spans="1:70" x14ac:dyDescent="0.25">
      <c r="A148" t="s">
        <v>813</v>
      </c>
      <c r="B148" t="s">
        <v>80</v>
      </c>
      <c r="C148" t="s">
        <v>81</v>
      </c>
      <c r="D148" s="6"/>
      <c r="E148" s="9" t="str">
        <f>HYPERLINK("http://plants.ensembl.org/Triticum_aestivum/Gene/Summary?g=TRIAE_CS42_6BL_TGACv1_499423_AA1582210","TRIAE_CS42_6BL_TGACv1_499423_AA1582210")</f>
        <v>TRIAE_CS42_6BL_TGACv1_499423_AA1582210</v>
      </c>
      <c r="H148" s="8" t="str">
        <f>HYPERLINK("http://plants.ensembl.org/Brachypodium_distachyon/Gene/Summary?g=Bradi3g49010","Bradi3g49010")</f>
        <v>Bradi3g49010</v>
      </c>
      <c r="I148" s="1" t="s">
        <v>1051</v>
      </c>
      <c r="J148" s="9" t="str">
        <f>HYPERLINK("http://plants.ensembl.org/Oryza_sativa/Gene/Summary?db=otherfeatures;g=LOC_Os10g36703","LOC_Os10g36703")</f>
        <v>LOC_Os10g36703</v>
      </c>
      <c r="L148" s="6"/>
      <c r="M148" s="1" t="s">
        <v>973</v>
      </c>
      <c r="N148" s="1" t="s">
        <v>973</v>
      </c>
      <c r="O148" s="1" t="s">
        <v>973</v>
      </c>
      <c r="P148" s="1">
        <v>1</v>
      </c>
      <c r="Q148" s="1" t="s">
        <v>973</v>
      </c>
      <c r="R148" s="1" t="s">
        <v>973</v>
      </c>
      <c r="S148" s="1"/>
      <c r="T148" s="6"/>
      <c r="U148" s="11">
        <v>6.9003194056061989</v>
      </c>
      <c r="V148" s="11">
        <v>7.8031071082863148</v>
      </c>
      <c r="W148" s="11">
        <v>4.3161143580237278</v>
      </c>
      <c r="X148" s="11">
        <v>4.7388704968395858</v>
      </c>
      <c r="Y148" s="11">
        <v>6.0228767356587314</v>
      </c>
      <c r="Z148" s="11">
        <v>4.7968953432289378</v>
      </c>
      <c r="AA148" s="11">
        <v>5.63510814821755</v>
      </c>
      <c r="AB148" s="11">
        <v>4.6684028237888526</v>
      </c>
      <c r="AC148" s="11">
        <v>1.4152719181769684</v>
      </c>
      <c r="AD148" s="11">
        <v>0.98338584317410849</v>
      </c>
      <c r="AE148" s="11">
        <v>2.1057339432565412</v>
      </c>
      <c r="AF148" s="11">
        <v>1.9415320435357732</v>
      </c>
      <c r="AG148" s="11">
        <v>1.2188224903584965</v>
      </c>
      <c r="AH148" s="11">
        <v>1.4876578435586505</v>
      </c>
      <c r="AI148" s="11">
        <v>2.4714823002985118</v>
      </c>
      <c r="AJ148" s="11">
        <v>1.8495056038982594</v>
      </c>
      <c r="AK148" s="6"/>
      <c r="AL148" t="s">
        <v>1077</v>
      </c>
      <c r="AM148">
        <v>970</v>
      </c>
      <c r="AN148" s="6"/>
      <c r="AO148" s="20">
        <v>6.2827000000000002</v>
      </c>
      <c r="AP148" s="20">
        <v>6.9842000000000004</v>
      </c>
      <c r="AQ148" s="20">
        <v>2.4727999999999999</v>
      </c>
      <c r="AR148" s="20">
        <v>2.9823</v>
      </c>
      <c r="AS148" s="20">
        <v>5.4032999999999998</v>
      </c>
      <c r="AT148" s="20">
        <v>3.7587999999999999</v>
      </c>
      <c r="AU148" s="20">
        <v>3.3538999999999999</v>
      </c>
      <c r="AV148" s="20">
        <v>3.1467999999999998</v>
      </c>
      <c r="AW148" s="6"/>
      <c r="AX148" s="18">
        <v>3.0459999999999997E-14</v>
      </c>
      <c r="AY148" s="18">
        <v>2.794E-15</v>
      </c>
      <c r="AZ148" s="18">
        <v>3.2880000000000002E-4</v>
      </c>
      <c r="BA148" s="18">
        <v>1.9640000000000002E-5</v>
      </c>
      <c r="BB148" s="18">
        <v>1.249E-13</v>
      </c>
      <c r="BC148" s="18">
        <v>1.2359999999999999E-6</v>
      </c>
      <c r="BD148" s="18">
        <v>1.7219999999999999E-7</v>
      </c>
      <c r="BE148" s="18">
        <v>8.8980000000000002E-6</v>
      </c>
      <c r="BF148" s="13"/>
      <c r="BG148" t="s">
        <v>1191</v>
      </c>
      <c r="BH148" t="s">
        <v>1211</v>
      </c>
      <c r="BI148" t="s">
        <v>1113</v>
      </c>
      <c r="BJ148" t="s">
        <v>1114</v>
      </c>
      <c r="BK148" t="s">
        <v>1115</v>
      </c>
      <c r="BL148" t="s">
        <v>1116</v>
      </c>
      <c r="BM148" t="s">
        <v>1117</v>
      </c>
      <c r="BN148" s="13"/>
      <c r="BO148" t="s">
        <v>973</v>
      </c>
      <c r="BP148" t="s">
        <v>973</v>
      </c>
      <c r="BQ148" t="s">
        <v>973</v>
      </c>
      <c r="BR148" t="s">
        <v>973</v>
      </c>
    </row>
    <row r="149" spans="1:70" x14ac:dyDescent="0.25">
      <c r="A149" t="s">
        <v>16</v>
      </c>
      <c r="B149" t="s">
        <v>17</v>
      </c>
      <c r="C149" t="s">
        <v>18</v>
      </c>
      <c r="D149" s="6"/>
      <c r="E149" s="9" t="str">
        <f>HYPERLINK("http://plants.ensembl.org/Triticum_aestivum/Gene/Summary?g=TRIAE_CS42_1AS_TGACv1_019096_AA0060570","TRIAE_CS42_1AS_TGACv1_019096_AA0060570")</f>
        <v>TRIAE_CS42_1AS_TGACv1_019096_AA0060570</v>
      </c>
      <c r="F149" s="9" t="str">
        <f>HYPERLINK("http://mar2016-plants.ensembl.org/Triticum_aestivum/Gene/Summary?db=core;g=Traes_1AS_EADB6A2A0","Traes_1AS_EADB6A2A0")</f>
        <v>Traes_1AS_EADB6A2A0</v>
      </c>
      <c r="G149" t="s">
        <v>974</v>
      </c>
      <c r="H149" s="8" t="str">
        <f>HYPERLINK("http://plants.ensembl.org/Brachypodium_distachyon/Gene/Summary?g=Bradi2g34030","Bradi2g34030")</f>
        <v>Bradi2g34030</v>
      </c>
      <c r="I149" s="1" t="s">
        <v>1051</v>
      </c>
      <c r="J149" s="9" t="str">
        <f>HYPERLINK("http://plants.ensembl.org/Oryza_sativa/Gene/Summary?db=otherfeatures;g=LOC_Os05g08570","LOC_Os05g08570")</f>
        <v>LOC_Os05g08570</v>
      </c>
      <c r="K149" s="9" t="str">
        <f>HYPERLINK("http://plants.ensembl.org/Zea_mays/Gene/Summary?db=otherfeatures;g=GRMZM2G004696","GRMZM2G004696")</f>
        <v>GRMZM2G004696</v>
      </c>
      <c r="L149" s="6"/>
      <c r="M149" t="s">
        <v>973</v>
      </c>
      <c r="N149" t="s">
        <v>973</v>
      </c>
      <c r="O149" t="s">
        <v>973</v>
      </c>
      <c r="P149">
        <v>1</v>
      </c>
      <c r="S149" t="s">
        <v>973</v>
      </c>
      <c r="T149" s="6"/>
      <c r="U149" s="11">
        <v>7.9674120725243789</v>
      </c>
      <c r="V149" s="11">
        <v>7.3216671839427274</v>
      </c>
      <c r="W149" s="11">
        <v>7.0942082658824335</v>
      </c>
      <c r="X149" s="11">
        <v>7.06750570942729</v>
      </c>
      <c r="Y149" s="11">
        <v>7.1699664115389927</v>
      </c>
      <c r="Z149" s="11">
        <v>6.9646685538930893</v>
      </c>
      <c r="AA149" s="11">
        <v>7.1052869597772244</v>
      </c>
      <c r="AB149" s="11">
        <v>6.5618540910740037</v>
      </c>
      <c r="AC149" s="11">
        <v>6.1917462131232215</v>
      </c>
      <c r="AD149" s="11">
        <v>6.4741520840986473</v>
      </c>
      <c r="AE149" s="11">
        <v>6.7300035988527149</v>
      </c>
      <c r="AF149" s="11">
        <v>6.3791646186390034</v>
      </c>
      <c r="AG149" s="11">
        <v>6.089095556992234</v>
      </c>
      <c r="AH149" s="11">
        <v>6.0322830791966435</v>
      </c>
      <c r="AI149" s="11">
        <v>6.3746262631277864</v>
      </c>
      <c r="AJ149" s="11">
        <v>6.4438038814560255</v>
      </c>
      <c r="AK149" s="6"/>
      <c r="AL149" t="s">
        <v>1077</v>
      </c>
      <c r="AM149">
        <v>446</v>
      </c>
      <c r="AN149" s="6"/>
      <c r="AO149" s="20">
        <v>1.8458000000000001</v>
      </c>
      <c r="AP149" s="20">
        <v>0.74990000000000001</v>
      </c>
      <c r="AQ149" s="20">
        <v>0.36509999999999998</v>
      </c>
      <c r="AR149" s="20">
        <v>0.70860000000000001</v>
      </c>
      <c r="AS149" s="20">
        <v>1.0837000000000001</v>
      </c>
      <c r="AT149" s="20">
        <v>0.93589999999999995</v>
      </c>
      <c r="AU149" s="20">
        <v>0.74029999999999996</v>
      </c>
      <c r="AV149" s="20">
        <v>0.1179</v>
      </c>
      <c r="AW149" s="6"/>
      <c r="AX149" s="18">
        <v>4.4339999999999999E-12</v>
      </c>
      <c r="AY149" s="18">
        <v>1.397E-2</v>
      </c>
      <c r="AZ149" s="18">
        <v>0.15290000000000001</v>
      </c>
      <c r="BA149" s="18">
        <v>6.6340000000000001E-3</v>
      </c>
      <c r="BB149" s="18">
        <v>2.5000000000000001E-5</v>
      </c>
      <c r="BC149" s="18">
        <v>4.0769999999999999E-4</v>
      </c>
      <c r="BD149" s="18">
        <v>3.947E-3</v>
      </c>
      <c r="BE149" s="18">
        <v>0.65429999999999999</v>
      </c>
      <c r="BF149" s="13"/>
      <c r="BG149" t="s">
        <v>1136</v>
      </c>
      <c r="BH149" t="s">
        <v>1112</v>
      </c>
      <c r="BI149" t="s">
        <v>1113</v>
      </c>
      <c r="BJ149" t="s">
        <v>1114</v>
      </c>
      <c r="BK149" t="s">
        <v>1115</v>
      </c>
      <c r="BL149" t="s">
        <v>1116</v>
      </c>
      <c r="BM149" t="s">
        <v>1117</v>
      </c>
      <c r="BN149" s="13"/>
      <c r="BO149" t="s">
        <v>973</v>
      </c>
      <c r="BP149" t="s">
        <v>973</v>
      </c>
      <c r="BQ149" t="s">
        <v>973</v>
      </c>
      <c r="BR149" t="s">
        <v>973</v>
      </c>
    </row>
    <row r="150" spans="1:70" x14ac:dyDescent="0.25">
      <c r="A150" t="s">
        <v>65</v>
      </c>
      <c r="B150" t="s">
        <v>66</v>
      </c>
      <c r="C150" t="s">
        <v>18</v>
      </c>
      <c r="D150" s="6"/>
      <c r="E150" s="9" t="str">
        <f>HYPERLINK("http://plants.ensembl.org/Triticum_aestivum/Gene/Summary?g=TRIAE_CS42_1AL_TGACv1_001153_AA0026130","TRIAE_CS42_1AL_TGACv1_001153_AA0026130")</f>
        <v>TRIAE_CS42_1AL_TGACv1_001153_AA0026130</v>
      </c>
      <c r="F150" s="9" t="str">
        <f>HYPERLINK("http://mar2016-plants.ensembl.org/Triticum_aestivum/Gene/Summary?db=core;g=Traes_1AL_859346448","Traes_1AL_859346448")</f>
        <v>Traes_1AL_859346448</v>
      </c>
      <c r="H150" s="8" t="str">
        <f>HYPERLINK("http://plants.ensembl.org/Brachypodium_distachyon/Gene/Summary?g=Bradi2g16850","Bradi2g16850")</f>
        <v>Bradi2g16850</v>
      </c>
      <c r="I150" s="1" t="s">
        <v>1051</v>
      </c>
      <c r="J150" s="9" t="str">
        <f>HYPERLINK("http://plants.ensembl.org/Oryza_sativa/Gene/Summary?db=otherfeatures;g=LOC_Os05g48590","LOC_Os05g48590")</f>
        <v>LOC_Os05g48590</v>
      </c>
      <c r="L150" s="6"/>
      <c r="M150" s="1" t="s">
        <v>973</v>
      </c>
      <c r="N150" s="1" t="s">
        <v>973</v>
      </c>
      <c r="O150" s="1" t="s">
        <v>973</v>
      </c>
      <c r="P150" s="1">
        <v>1</v>
      </c>
      <c r="Q150" s="1" t="s">
        <v>973</v>
      </c>
      <c r="R150" s="1" t="s">
        <v>973</v>
      </c>
      <c r="S150" s="1"/>
      <c r="T150" s="6"/>
      <c r="U150" s="11">
        <v>6.4919834673241024</v>
      </c>
      <c r="V150" s="11">
        <v>5.7421868060048693</v>
      </c>
      <c r="W150" s="11">
        <v>5.8277174227974324</v>
      </c>
      <c r="X150" s="11">
        <v>4.9899110241861617</v>
      </c>
      <c r="Y150" s="11">
        <v>6.1363274393164469</v>
      </c>
      <c r="Z150" s="11">
        <v>5.2783317456104468</v>
      </c>
      <c r="AA150" s="11">
        <v>6.8824881754798914</v>
      </c>
      <c r="AB150" s="11">
        <v>5.7257575134978573</v>
      </c>
      <c r="AC150" s="11">
        <v>6.0733689635596297</v>
      </c>
      <c r="AD150" s="11">
        <v>4.7335315028108669</v>
      </c>
      <c r="AE150" s="11">
        <v>5.50140517401476</v>
      </c>
      <c r="AF150" s="11">
        <v>4.847216905709228</v>
      </c>
      <c r="AG150" s="11">
        <v>5.54388351954859</v>
      </c>
      <c r="AH150" s="11">
        <v>4.7139908480651815</v>
      </c>
      <c r="AI150" s="11">
        <v>5.8034733207974112</v>
      </c>
      <c r="AJ150" s="11">
        <v>5.0145472229286661</v>
      </c>
      <c r="AK150" s="6"/>
      <c r="AL150" t="s">
        <v>1101</v>
      </c>
      <c r="AM150">
        <v>0</v>
      </c>
      <c r="AN150" s="6"/>
      <c r="AO150" s="20">
        <v>0.36890000000000001</v>
      </c>
      <c r="AP150" s="20">
        <v>0.9395</v>
      </c>
      <c r="AQ150" s="20">
        <v>0.33229999999999998</v>
      </c>
      <c r="AR150" s="20">
        <v>0.12839999999999999</v>
      </c>
      <c r="AS150" s="20">
        <v>0.60860000000000003</v>
      </c>
      <c r="AT150" s="20">
        <v>0.56789999999999996</v>
      </c>
      <c r="AU150" s="20">
        <v>1.0861000000000001</v>
      </c>
      <c r="AV150" s="20">
        <v>0.72119999999999995</v>
      </c>
      <c r="AW150" s="6"/>
      <c r="AX150" s="18">
        <v>0.25719999999999998</v>
      </c>
      <c r="AY150" s="18">
        <v>2.0039999999999999E-2</v>
      </c>
      <c r="AZ150" s="18">
        <v>0.2954</v>
      </c>
      <c r="BA150" s="18">
        <v>0.70979999999999999</v>
      </c>
      <c r="BB150" s="18">
        <v>5.0009999999999999E-2</v>
      </c>
      <c r="BC150" s="18">
        <v>9.6939999999999998E-2</v>
      </c>
      <c r="BD150" s="18">
        <v>3.6240000000000003E-4</v>
      </c>
      <c r="BE150" s="18">
        <v>2.8580000000000001E-2</v>
      </c>
      <c r="BF150" s="13"/>
      <c r="BG150" t="s">
        <v>1250</v>
      </c>
      <c r="BH150" t="s">
        <v>1112</v>
      </c>
      <c r="BI150" t="s">
        <v>1113</v>
      </c>
      <c r="BJ150" t="s">
        <v>1217</v>
      </c>
      <c r="BK150" t="s">
        <v>1115</v>
      </c>
      <c r="BL150" t="s">
        <v>1214</v>
      </c>
      <c r="BM150" t="s">
        <v>1117</v>
      </c>
      <c r="BN150" s="13"/>
      <c r="BO150" t="s">
        <v>973</v>
      </c>
      <c r="BP150" t="s">
        <v>973</v>
      </c>
      <c r="BQ150" t="s">
        <v>973</v>
      </c>
      <c r="BR150" t="s">
        <v>973</v>
      </c>
    </row>
    <row r="151" spans="1:70" x14ac:dyDescent="0.25">
      <c r="A151" t="s">
        <v>73</v>
      </c>
      <c r="B151" t="s">
        <v>17</v>
      </c>
      <c r="C151" t="s">
        <v>18</v>
      </c>
      <c r="D151" s="6"/>
      <c r="E151" s="9" t="str">
        <f>HYPERLINK("http://plants.ensembl.org/Triticum_aestivum/Gene/Summary?g=TRIAE_CS42_1BS_TGACv1_051311_AA0179100","TRIAE_CS42_1BS_TGACv1_051311_AA0179100")</f>
        <v>TRIAE_CS42_1BS_TGACv1_051311_AA0179100</v>
      </c>
      <c r="F151" s="9" t="str">
        <f>HYPERLINK("http://mar2016-plants.ensembl.org/Triticum_aestivum/Gene/Summary?db=core;g=Traes_1BS_8A19C460B","Traes_1BS_8A19C460B")</f>
        <v>Traes_1BS_8A19C460B</v>
      </c>
      <c r="G151" t="s">
        <v>974</v>
      </c>
      <c r="H151" s="8" t="str">
        <f>HYPERLINK("http://plants.ensembl.org/Brachypodium_distachyon/Gene/Summary?g=Bradi2g34030","Bradi2g34030")</f>
        <v>Bradi2g34030</v>
      </c>
      <c r="I151" s="1" t="s">
        <v>1051</v>
      </c>
      <c r="J151" s="9" t="str">
        <f>HYPERLINK("http://plants.ensembl.org/Oryza_sativa/Gene/Summary?db=otherfeatures;g=LOC_Os05g08570","LOC_Os05g08570")</f>
        <v>LOC_Os05g08570</v>
      </c>
      <c r="L151" s="6"/>
      <c r="M151" t="s">
        <v>973</v>
      </c>
      <c r="N151" t="s">
        <v>973</v>
      </c>
      <c r="O151" t="s">
        <v>973</v>
      </c>
      <c r="P151">
        <v>1</v>
      </c>
      <c r="S151" t="s">
        <v>973</v>
      </c>
      <c r="T151" s="6"/>
      <c r="U151" s="11">
        <v>8.7722353843704468</v>
      </c>
      <c r="V151" s="11">
        <v>8.348714877835258</v>
      </c>
      <c r="W151" s="11">
        <v>8.3503628721706118</v>
      </c>
      <c r="X151" s="11">
        <v>8.1149853687880924</v>
      </c>
      <c r="Y151" s="11">
        <v>8.7350942876167021</v>
      </c>
      <c r="Z151" s="11">
        <v>8.1063786824550466</v>
      </c>
      <c r="AA151" s="11">
        <v>7.1157345213294141</v>
      </c>
      <c r="AB151" s="11">
        <v>6.863338441314756</v>
      </c>
      <c r="AC151" s="11">
        <v>6.6240038731470099</v>
      </c>
      <c r="AD151" s="11">
        <v>6.6934823111310031</v>
      </c>
      <c r="AE151" s="11">
        <v>6.8567226485921564</v>
      </c>
      <c r="AF151" s="11">
        <v>6.4322679502275291</v>
      </c>
      <c r="AG151" s="11">
        <v>6.457400032791357</v>
      </c>
      <c r="AH151" s="11">
        <v>5.8231124369652321</v>
      </c>
      <c r="AI151" s="11">
        <v>6.295222205891748</v>
      </c>
      <c r="AJ151" s="11">
        <v>6.7486633822084707</v>
      </c>
      <c r="AK151" s="6"/>
      <c r="AL151" t="s">
        <v>1077</v>
      </c>
      <c r="AM151">
        <v>582</v>
      </c>
      <c r="AN151" s="6"/>
      <c r="AO151" s="20">
        <v>2.1808999999999998</v>
      </c>
      <c r="AP151" s="20">
        <v>1.6708000000000001</v>
      </c>
      <c r="AQ151" s="20">
        <v>1.4945999999999999</v>
      </c>
      <c r="AR151" s="20">
        <v>1.6744000000000001</v>
      </c>
      <c r="AS151" s="20">
        <v>2.2783000000000002</v>
      </c>
      <c r="AT151" s="20">
        <v>2.2919</v>
      </c>
      <c r="AU151" s="20">
        <v>0.82850000000000001</v>
      </c>
      <c r="AV151" s="20">
        <v>0.11459999999999999</v>
      </c>
      <c r="AW151" s="6"/>
      <c r="AX151" s="18">
        <v>5.851E-11</v>
      </c>
      <c r="AY151" s="18">
        <v>2.948E-6</v>
      </c>
      <c r="AZ151" s="18">
        <v>4.904E-6</v>
      </c>
      <c r="BA151" s="18">
        <v>4.4000000000000002E-7</v>
      </c>
      <c r="BB151" s="18">
        <v>2.865E-12</v>
      </c>
      <c r="BC151" s="18">
        <v>1.052E-11</v>
      </c>
      <c r="BD151" s="18">
        <v>1.2749999999999999E-2</v>
      </c>
      <c r="BE151" s="18">
        <v>0.73109999999999997</v>
      </c>
      <c r="BF151" s="13"/>
      <c r="BG151" t="s">
        <v>1215</v>
      </c>
      <c r="BH151" t="s">
        <v>1293</v>
      </c>
      <c r="BI151" t="s">
        <v>1113</v>
      </c>
      <c r="BJ151" t="s">
        <v>1114</v>
      </c>
      <c r="BK151" t="s">
        <v>1115</v>
      </c>
      <c r="BL151" t="s">
        <v>1203</v>
      </c>
      <c r="BM151" t="s">
        <v>1117</v>
      </c>
      <c r="BN151" s="13"/>
      <c r="BO151" t="s">
        <v>973</v>
      </c>
      <c r="BP151" t="s">
        <v>973</v>
      </c>
      <c r="BQ151" t="s">
        <v>973</v>
      </c>
      <c r="BR151" t="s">
        <v>973</v>
      </c>
    </row>
    <row r="152" spans="1:70" x14ac:dyDescent="0.25">
      <c r="A152" t="s">
        <v>93</v>
      </c>
      <c r="B152" t="s">
        <v>94</v>
      </c>
      <c r="C152" t="s">
        <v>18</v>
      </c>
      <c r="D152" s="6"/>
      <c r="E152" s="9" t="str">
        <f>HYPERLINK("http://plants.ensembl.org/Triticum_aestivum/Gene/Summary?g=TRIAE_CS42_1BL_TGACv1_031039_AA0106480","TRIAE_CS42_1BL_TGACv1_031039_AA0106480")</f>
        <v>TRIAE_CS42_1BL_TGACv1_031039_AA0106480</v>
      </c>
      <c r="F152" s="9" t="str">
        <f>HYPERLINK("http://mar2016-plants.ensembl.org/Triticum_aestivum/Gene/Summary?db=core;g=Traes_1BL_4B1CFEF1C","Traes_1BL_4B1CFEF1C")</f>
        <v>Traes_1BL_4B1CFEF1C</v>
      </c>
      <c r="G152" t="s">
        <v>979</v>
      </c>
      <c r="H152" s="8" t="str">
        <f>HYPERLINK("http://plants.ensembl.org/Brachypodium_distachyon/Gene/Summary?g=Bradi2g16850","Bradi2g16850")</f>
        <v>Bradi2g16850</v>
      </c>
      <c r="I152" s="1" t="s">
        <v>1051</v>
      </c>
      <c r="J152" s="9" t="str">
        <f>HYPERLINK("http://plants.ensembl.org/Oryza_sativa/Gene/Summary?db=otherfeatures;g=LOC_Os05g48590","LOC_Os05g48590")</f>
        <v>LOC_Os05g48590</v>
      </c>
      <c r="K152" s="9" t="str">
        <f>HYPERLINK("http://plants.ensembl.org/Zea_mays/Gene/Summary?db=otherfeatures;g=GRMZM2G573324","GRMZM2G573324")</f>
        <v>GRMZM2G573324</v>
      </c>
      <c r="L152" s="6"/>
      <c r="M152" t="s">
        <v>973</v>
      </c>
      <c r="N152" t="s">
        <v>973</v>
      </c>
      <c r="O152" t="s">
        <v>973</v>
      </c>
      <c r="P152">
        <v>1</v>
      </c>
      <c r="S152" t="s">
        <v>973</v>
      </c>
      <c r="T152" s="6"/>
      <c r="U152" s="11">
        <v>7.4803995066305111</v>
      </c>
      <c r="V152" s="11">
        <v>8.2593005810212681</v>
      </c>
      <c r="W152" s="11">
        <v>7.4150513062551591</v>
      </c>
      <c r="X152" s="11">
        <v>6.5400283028247665</v>
      </c>
      <c r="Y152" s="11">
        <v>7.7463620379556932</v>
      </c>
      <c r="Z152" s="11">
        <v>6.953843349878599</v>
      </c>
      <c r="AA152" s="11">
        <v>7.6773809179164143</v>
      </c>
      <c r="AB152" s="11">
        <v>6.3413667068008959</v>
      </c>
      <c r="AC152" s="11">
        <v>5.6627001779448047</v>
      </c>
      <c r="AD152" s="11">
        <v>4.4949403640787571</v>
      </c>
      <c r="AE152" s="11">
        <v>5.4583130964972728</v>
      </c>
      <c r="AF152" s="11">
        <v>4.9631488643917638</v>
      </c>
      <c r="AG152" s="11">
        <v>5.7632274190201551</v>
      </c>
      <c r="AH152" s="11">
        <v>4.7417707743048645</v>
      </c>
      <c r="AI152" s="11">
        <v>5.9552531239407598</v>
      </c>
      <c r="AJ152" s="11">
        <v>4.4844904891023756</v>
      </c>
      <c r="AK152" s="6"/>
      <c r="AL152" t="s">
        <v>1077</v>
      </c>
      <c r="AM152">
        <v>299</v>
      </c>
      <c r="AN152" s="6"/>
      <c r="AO152" s="20">
        <v>1.8823000000000001</v>
      </c>
      <c r="AP152" s="20">
        <v>3.8605</v>
      </c>
      <c r="AQ152" s="20">
        <v>1.9654</v>
      </c>
      <c r="AR152" s="20">
        <v>1.5921000000000001</v>
      </c>
      <c r="AS152" s="20">
        <v>1.9852000000000001</v>
      </c>
      <c r="AT152" s="20">
        <v>2.2387000000000001</v>
      </c>
      <c r="AU152" s="20">
        <v>1.7265999999999999</v>
      </c>
      <c r="AV152" s="20">
        <v>1.887</v>
      </c>
      <c r="AW152" s="6"/>
      <c r="AX152" s="18">
        <v>1.4529999999999999E-6</v>
      </c>
      <c r="AY152" s="18">
        <v>9.8410000000000003E-18</v>
      </c>
      <c r="AZ152" s="18">
        <v>2.896E-7</v>
      </c>
      <c r="BA152" s="18">
        <v>5.9089999999999998E-5</v>
      </c>
      <c r="BB152" s="18">
        <v>1.2419999999999999E-7</v>
      </c>
      <c r="BC152" s="18">
        <v>1.96E-8</v>
      </c>
      <c r="BD152" s="18">
        <v>4.5800000000000002E-6</v>
      </c>
      <c r="BE152" s="18">
        <v>2.9950000000000001E-6</v>
      </c>
      <c r="BF152" s="13"/>
      <c r="BG152" t="s">
        <v>1372</v>
      </c>
      <c r="BH152" t="s">
        <v>1126</v>
      </c>
      <c r="BI152" t="s">
        <v>1113</v>
      </c>
      <c r="BJ152" t="s">
        <v>1217</v>
      </c>
      <c r="BK152" t="s">
        <v>1115</v>
      </c>
      <c r="BL152" t="s">
        <v>1116</v>
      </c>
      <c r="BM152" t="s">
        <v>1117</v>
      </c>
      <c r="BN152" s="13"/>
      <c r="BO152" t="s">
        <v>973</v>
      </c>
      <c r="BP152" t="s">
        <v>973</v>
      </c>
      <c r="BQ152" t="s">
        <v>973</v>
      </c>
      <c r="BR152" t="s">
        <v>973</v>
      </c>
    </row>
    <row r="153" spans="1:70" x14ac:dyDescent="0.25">
      <c r="A153" t="s">
        <v>102</v>
      </c>
      <c r="B153" t="s">
        <v>17</v>
      </c>
      <c r="C153" t="s">
        <v>18</v>
      </c>
      <c r="D153" s="6"/>
      <c r="E153" s="9" t="str">
        <f>HYPERLINK("http://plants.ensembl.org/Triticum_aestivum/Gene/Summary?g=TRIAE_CS42_1DS_TGACv1_080151_AA0241540","TRIAE_CS42_1DS_TGACv1_080151_AA0241540")</f>
        <v>TRIAE_CS42_1DS_TGACv1_080151_AA0241540</v>
      </c>
      <c r="F153" s="9" t="str">
        <f>HYPERLINK("http://mar2016-plants.ensembl.org/Triticum_aestivum/Gene/Summary?db=core;g=Traes_1DS_0898FA765","Traes_1DS_0898FA765")</f>
        <v>Traes_1DS_0898FA765</v>
      </c>
      <c r="G153" t="s">
        <v>974</v>
      </c>
      <c r="H153" s="8" t="str">
        <f>HYPERLINK("http://plants.ensembl.org/Brachypodium_distachyon/Gene/Summary?g=Bradi2g34030","Bradi2g34030")</f>
        <v>Bradi2g34030</v>
      </c>
      <c r="I153" s="1" t="s">
        <v>1051</v>
      </c>
      <c r="J153" s="9" t="str">
        <f>HYPERLINK("http://plants.ensembl.org/Oryza_sativa/Gene/Summary?db=otherfeatures;g=LOC_Os05g08570","LOC_Os05g08570")</f>
        <v>LOC_Os05g08570</v>
      </c>
      <c r="K153" s="9" t="str">
        <f>HYPERLINK("http://plants.ensembl.org/Zea_mays/Gene/Summary?db=otherfeatures;g=GRMZM2G004696","GRMZM2G004696")</f>
        <v>GRMZM2G004696</v>
      </c>
      <c r="L153" s="6"/>
      <c r="M153" t="s">
        <v>973</v>
      </c>
      <c r="N153" t="s">
        <v>973</v>
      </c>
      <c r="O153" t="s">
        <v>973</v>
      </c>
      <c r="P153">
        <v>1</v>
      </c>
      <c r="S153" t="s">
        <v>973</v>
      </c>
      <c r="T153" s="6"/>
      <c r="U153" s="11">
        <v>8.9739871675279446</v>
      </c>
      <c r="V153" s="11">
        <v>8.5538902288618708</v>
      </c>
      <c r="W153" s="11">
        <v>7.4827977405411277</v>
      </c>
      <c r="X153" s="11">
        <v>7.2943799733227159</v>
      </c>
      <c r="Y153" s="11">
        <v>7.6182876061439675</v>
      </c>
      <c r="Z153" s="11">
        <v>7.3109423297828107</v>
      </c>
      <c r="AA153" s="11">
        <v>7.3779679091577481</v>
      </c>
      <c r="AB153" s="11">
        <v>7.0019857198020512</v>
      </c>
      <c r="AC153" s="11">
        <v>6.24260822182511</v>
      </c>
      <c r="AD153" s="11">
        <v>5.6368217995564063</v>
      </c>
      <c r="AE153" s="11">
        <v>6.5575459019197071</v>
      </c>
      <c r="AF153" s="11">
        <v>6.4045137471609923</v>
      </c>
      <c r="AG153" s="11">
        <v>6.1644966804938974</v>
      </c>
      <c r="AH153" s="11">
        <v>5.5346157080949574</v>
      </c>
      <c r="AI153" s="11">
        <v>6.3794338209500037</v>
      </c>
      <c r="AJ153" s="11">
        <v>6.3279980705591861</v>
      </c>
      <c r="AK153" s="6"/>
      <c r="AL153" t="s">
        <v>1077</v>
      </c>
      <c r="AM153">
        <v>279</v>
      </c>
      <c r="AN153" s="6"/>
      <c r="AO153" s="20">
        <v>2.7526999999999999</v>
      </c>
      <c r="AP153" s="20">
        <v>2.7736999999999998</v>
      </c>
      <c r="AQ153" s="20">
        <v>0.92610000000000003</v>
      </c>
      <c r="AR153" s="20">
        <v>0.90180000000000005</v>
      </c>
      <c r="AS153" s="20">
        <v>1.4585999999999999</v>
      </c>
      <c r="AT153" s="20">
        <v>1.7838000000000001</v>
      </c>
      <c r="AU153" s="20">
        <v>1.0061</v>
      </c>
      <c r="AV153" s="20">
        <v>0.67600000000000005</v>
      </c>
      <c r="AW153" s="6"/>
      <c r="AX153" s="18">
        <v>3.5160000000000001E-17</v>
      </c>
      <c r="AY153" s="18">
        <v>1.972E-14</v>
      </c>
      <c r="AZ153" s="18">
        <v>4.0150000000000003E-3</v>
      </c>
      <c r="BA153" s="18">
        <v>5.6039999999999996E-3</v>
      </c>
      <c r="BB153" s="18">
        <v>5.6729999999999997E-6</v>
      </c>
      <c r="BC153" s="18">
        <v>9.4710000000000006E-8</v>
      </c>
      <c r="BD153" s="18">
        <v>1.8079999999999999E-3</v>
      </c>
      <c r="BE153" s="18">
        <v>3.8359999999999998E-2</v>
      </c>
      <c r="BF153" s="13"/>
      <c r="BG153" t="s">
        <v>1300</v>
      </c>
      <c r="BH153" t="s">
        <v>1132</v>
      </c>
      <c r="BI153" t="s">
        <v>1113</v>
      </c>
      <c r="BJ153" t="s">
        <v>1114</v>
      </c>
      <c r="BK153" t="s">
        <v>1115</v>
      </c>
      <c r="BL153" t="s">
        <v>1116</v>
      </c>
      <c r="BM153" t="s">
        <v>1117</v>
      </c>
      <c r="BN153" s="13"/>
      <c r="BO153" t="s">
        <v>973</v>
      </c>
      <c r="BP153" t="s">
        <v>973</v>
      </c>
      <c r="BQ153" t="s">
        <v>973</v>
      </c>
      <c r="BR153" t="s">
        <v>973</v>
      </c>
    </row>
    <row r="154" spans="1:70" x14ac:dyDescent="0.25">
      <c r="A154" t="s">
        <v>117</v>
      </c>
      <c r="B154" t="s">
        <v>118</v>
      </c>
      <c r="C154" t="s">
        <v>18</v>
      </c>
      <c r="D154" s="6"/>
      <c r="E154" s="9" t="str">
        <f>HYPERLINK("http://plants.ensembl.org/Triticum_aestivum/Gene/Summary?g=TRIAE_CS42_1DL_TGACv1_062995_AA0222740","TRIAE_CS42_1DL_TGACv1_062995_AA0222740")</f>
        <v>TRIAE_CS42_1DL_TGACv1_062995_AA0222740</v>
      </c>
      <c r="F154" s="9" t="str">
        <f>HYPERLINK("http://mar2016-plants.ensembl.org/Triticum_aestivum/Gene/Summary?db=core;g=Traes_1DL_4F703A523","Traes_1DL_4F703A523")</f>
        <v>Traes_1DL_4F703A523</v>
      </c>
      <c r="G154" t="s">
        <v>979</v>
      </c>
      <c r="H154" s="8" t="str">
        <f>HYPERLINK("http://plants.ensembl.org/Brachypodium_distachyon/Gene/Summary?g=Bradi2g16850","Bradi2g16850")</f>
        <v>Bradi2g16850</v>
      </c>
      <c r="I154" s="1" t="s">
        <v>1051</v>
      </c>
      <c r="J154" s="9" t="str">
        <f>HYPERLINK("http://plants.ensembl.org/Oryza_sativa/Gene/Summary?db=otherfeatures;g=LOC_Os05g48590","LOC_Os05g48590")</f>
        <v>LOC_Os05g48590</v>
      </c>
      <c r="K154" s="9" t="str">
        <f>HYPERLINK("http://plants.ensembl.org/Zea_mays/Gene/Summary?db=otherfeatures;g=GRMZM2G573324","GRMZM2G573324")</f>
        <v>GRMZM2G573324</v>
      </c>
      <c r="L154" s="6"/>
      <c r="M154" t="s">
        <v>973</v>
      </c>
      <c r="N154" t="s">
        <v>973</v>
      </c>
      <c r="O154" t="s">
        <v>973</v>
      </c>
      <c r="P154">
        <v>1</v>
      </c>
      <c r="S154" t="s">
        <v>973</v>
      </c>
      <c r="T154" s="6"/>
      <c r="U154" s="11">
        <v>8.1791185418984877</v>
      </c>
      <c r="V154" s="11">
        <v>8.3237818185419563</v>
      </c>
      <c r="W154" s="11">
        <v>7.2209934884253508</v>
      </c>
      <c r="X154" s="11">
        <v>6.6123303804048481</v>
      </c>
      <c r="Y154" s="11">
        <v>7.4932256751337478</v>
      </c>
      <c r="Z154" s="11">
        <v>6.9173879932950726</v>
      </c>
      <c r="AA154" s="11">
        <v>7.1050445530113624</v>
      </c>
      <c r="AB154" s="11">
        <v>6.3368962840166381</v>
      </c>
      <c r="AC154" s="11">
        <v>5.7437564023328278</v>
      </c>
      <c r="AD154" s="11">
        <v>4.4411293136201717</v>
      </c>
      <c r="AE154" s="11">
        <v>5.3797318490348101</v>
      </c>
      <c r="AF154" s="11">
        <v>4.6808700469948059</v>
      </c>
      <c r="AG154" s="11">
        <v>5.2590213433271709</v>
      </c>
      <c r="AH154" s="11">
        <v>4.1947857408596994</v>
      </c>
      <c r="AI154" s="11">
        <v>5.5232190138699417</v>
      </c>
      <c r="AJ154" s="11">
        <v>4.1110507930930336</v>
      </c>
      <c r="AK154" s="6"/>
      <c r="AL154" t="s">
        <v>1077</v>
      </c>
      <c r="AM154">
        <v>492</v>
      </c>
      <c r="AN154" s="6"/>
      <c r="AO154" s="20">
        <v>2.4704000000000002</v>
      </c>
      <c r="AP154" s="20">
        <v>3.8068</v>
      </c>
      <c r="AQ154" s="20">
        <v>1.8532</v>
      </c>
      <c r="AR154" s="20">
        <v>2.0104000000000002</v>
      </c>
      <c r="AS154" s="20">
        <v>2.2395</v>
      </c>
      <c r="AT154" s="20">
        <v>2.7841999999999998</v>
      </c>
      <c r="AU154" s="20">
        <v>1.5981000000000001</v>
      </c>
      <c r="AV154" s="20">
        <v>2.2810999999999999</v>
      </c>
      <c r="AW154" s="6"/>
      <c r="AX154" s="18">
        <v>1.4960000000000001E-16</v>
      </c>
      <c r="AY154" s="18">
        <v>2.449E-25</v>
      </c>
      <c r="AZ154" s="18">
        <v>5.1799999999999997E-10</v>
      </c>
      <c r="BA154" s="18">
        <v>3.6569999999999999E-10</v>
      </c>
      <c r="BB154" s="18">
        <v>1.782E-14</v>
      </c>
      <c r="BC154" s="18">
        <v>8.4230000000000002E-17</v>
      </c>
      <c r="BD154" s="18">
        <v>6.074E-8</v>
      </c>
      <c r="BE154" s="18">
        <v>9.6220000000000008E-12</v>
      </c>
      <c r="BF154" s="13"/>
      <c r="BG154" t="s">
        <v>1372</v>
      </c>
      <c r="BH154" t="s">
        <v>1186</v>
      </c>
      <c r="BI154" t="s">
        <v>1113</v>
      </c>
      <c r="BJ154" t="s">
        <v>1114</v>
      </c>
      <c r="BK154" t="s">
        <v>1115</v>
      </c>
      <c r="BL154" t="s">
        <v>1116</v>
      </c>
      <c r="BM154" t="s">
        <v>1117</v>
      </c>
      <c r="BN154" s="13"/>
      <c r="BO154" t="s">
        <v>973</v>
      </c>
      <c r="BP154" t="s">
        <v>973</v>
      </c>
      <c r="BQ154" t="s">
        <v>973</v>
      </c>
      <c r="BR154" t="s">
        <v>973</v>
      </c>
    </row>
    <row r="155" spans="1:70" x14ac:dyDescent="0.25">
      <c r="A155" t="s">
        <v>295</v>
      </c>
      <c r="B155" t="s">
        <v>296</v>
      </c>
      <c r="C155" t="s">
        <v>18</v>
      </c>
      <c r="D155" s="6"/>
      <c r="E155" s="9" t="str">
        <f>HYPERLINK("http://plants.ensembl.org/Triticum_aestivum/Gene/Summary?g=TRIAE_CS42_3AS_TGACv1_211771_AA0694050","TRIAE_CS42_3AS_TGACv1_211771_AA0694050")</f>
        <v>TRIAE_CS42_3AS_TGACv1_211771_AA0694050</v>
      </c>
      <c r="F155" s="9" t="str">
        <f>HYPERLINK("http://mar2016-plants.ensembl.org/Triticum_aestivum/Gene/Summary?db=core;g=Traes_3AS_B855A6F86","Traes_3AS_B855A6F86")</f>
        <v>Traes_3AS_B855A6F86</v>
      </c>
      <c r="H155" s="8" t="str">
        <f>HYPERLINK("http://plants.ensembl.org/Brachypodium_distachyon/Gene/Summary?g=Bradi2g04910","Bradi2g04910")</f>
        <v>Bradi2g04910</v>
      </c>
      <c r="I155" s="1" t="s">
        <v>1051</v>
      </c>
      <c r="J155" s="9" t="str">
        <f>HYPERLINK("http://plants.ensembl.org/Oryza_sativa/Gene/Summary?db=otherfeatures;g=LOC_Os01g08320","LOC_Os01g08320")</f>
        <v>LOC_Os01g08320</v>
      </c>
      <c r="L155" s="6"/>
      <c r="M155" s="1" t="s">
        <v>973</v>
      </c>
      <c r="N155" s="1" t="s">
        <v>973</v>
      </c>
      <c r="O155" s="1" t="s">
        <v>973</v>
      </c>
      <c r="P155" s="1">
        <v>1</v>
      </c>
      <c r="Q155" s="1" t="s">
        <v>973</v>
      </c>
      <c r="R155" s="1" t="s">
        <v>973</v>
      </c>
      <c r="S155" s="1"/>
      <c r="T155" s="6"/>
      <c r="U155" s="11">
        <v>8.5006176420324255</v>
      </c>
      <c r="V155" s="11">
        <v>8.4924818674623399</v>
      </c>
      <c r="W155" s="11">
        <v>7.0986013262039362</v>
      </c>
      <c r="X155" s="11">
        <v>6.900597560268471</v>
      </c>
      <c r="Y155" s="11">
        <v>8.2514139233891939</v>
      </c>
      <c r="Z155" s="11">
        <v>7.167062153502644</v>
      </c>
      <c r="AA155" s="11">
        <v>7.5532929138242757</v>
      </c>
      <c r="AB155" s="11">
        <v>6.2635383844224854</v>
      </c>
      <c r="AC155" s="11">
        <v>6.2118000595710292</v>
      </c>
      <c r="AD155" s="11">
        <v>6.2008384608479421</v>
      </c>
      <c r="AE155" s="11">
        <v>6.2173418873615454</v>
      </c>
      <c r="AF155" s="11">
        <v>5.944531304162032</v>
      </c>
      <c r="AG155" s="11">
        <v>6.7495923676007514</v>
      </c>
      <c r="AH155" s="11">
        <v>5.7580339527094475</v>
      </c>
      <c r="AI155" s="11">
        <v>5.8243359302394611</v>
      </c>
      <c r="AJ155" s="11">
        <v>5.2768675895881305</v>
      </c>
      <c r="AK155" s="6"/>
      <c r="AL155" t="s">
        <v>1077</v>
      </c>
      <c r="AM155">
        <v>39</v>
      </c>
      <c r="AN155" s="6"/>
      <c r="AO155" s="20">
        <v>2.3206000000000002</v>
      </c>
      <c r="AP155" s="20">
        <v>2.4011999999999998</v>
      </c>
      <c r="AQ155" s="20">
        <v>0.88660000000000005</v>
      </c>
      <c r="AR155" s="20">
        <v>0.9506</v>
      </c>
      <c r="AS155" s="20">
        <v>1.5008999999999999</v>
      </c>
      <c r="AT155" s="20">
        <v>1.4177999999999999</v>
      </c>
      <c r="AU155" s="20">
        <v>1.7352000000000001</v>
      </c>
      <c r="AV155" s="20">
        <v>0.99690000000000001</v>
      </c>
      <c r="AW155" s="6"/>
      <c r="AX155" s="18">
        <v>2.3280000000000001E-10</v>
      </c>
      <c r="AY155" s="18">
        <v>8.7429999999999997E-10</v>
      </c>
      <c r="AZ155" s="18">
        <v>1.4630000000000001E-2</v>
      </c>
      <c r="BA155" s="18">
        <v>9.8279999999999999E-3</v>
      </c>
      <c r="BB155" s="18">
        <v>2.402E-5</v>
      </c>
      <c r="BC155" s="18">
        <v>1.204E-4</v>
      </c>
      <c r="BD155" s="18">
        <v>1.871E-6</v>
      </c>
      <c r="BE155" s="18">
        <v>8.352E-3</v>
      </c>
      <c r="BF155" s="13"/>
      <c r="BG155" t="s">
        <v>1300</v>
      </c>
      <c r="BH155" t="s">
        <v>1211</v>
      </c>
      <c r="BI155" t="s">
        <v>1113</v>
      </c>
      <c r="BJ155" t="s">
        <v>1244</v>
      </c>
      <c r="BK155" t="s">
        <v>1208</v>
      </c>
      <c r="BL155" t="s">
        <v>1204</v>
      </c>
      <c r="BM155" t="s">
        <v>1117</v>
      </c>
      <c r="BN155" s="13"/>
      <c r="BO155" t="s">
        <v>973</v>
      </c>
      <c r="BP155" t="s">
        <v>973</v>
      </c>
      <c r="BQ155" t="s">
        <v>973</v>
      </c>
      <c r="BR155" t="s">
        <v>973</v>
      </c>
    </row>
    <row r="156" spans="1:70" x14ac:dyDescent="0.25">
      <c r="A156" t="s">
        <v>306</v>
      </c>
      <c r="B156" t="s">
        <v>307</v>
      </c>
      <c r="C156" t="s">
        <v>18</v>
      </c>
      <c r="D156" s="6"/>
      <c r="E156" s="9" t="str">
        <f>HYPERLINK("http://plants.ensembl.org/Triticum_aestivum/Gene/Summary?g=TRIAE_CS42_3AS_TGACv1_210954_AA0682070","TRIAE_CS42_3AS_TGACv1_210954_AA0682070")</f>
        <v>TRIAE_CS42_3AS_TGACv1_210954_AA0682070</v>
      </c>
      <c r="F156" s="9" t="str">
        <f>HYPERLINK("http://mar2016-plants.ensembl.org/Triticum_aestivum/Gene/Summary?db=core;g=Traes_3AS_650C7A7A9","Traes_3AS_650C7A7A9")</f>
        <v>Traes_3AS_650C7A7A9</v>
      </c>
      <c r="G156" t="s">
        <v>997</v>
      </c>
      <c r="H156" s="8" t="str">
        <f>HYPERLINK("http://plants.ensembl.org/Brachypodium_distachyon/Gene/Summary?g=Bradi2g07770","Bradi2g07770")</f>
        <v>Bradi2g07770</v>
      </c>
      <c r="I156" s="1" t="s">
        <v>1051</v>
      </c>
      <c r="J156" s="9" t="str">
        <f>HYPERLINK("http://plants.ensembl.org/Oryza_sativa/Gene/Summary?db=otherfeatures;g=LOC_Os01g13030","LOC_Os01g13030")</f>
        <v>LOC_Os01g13030</v>
      </c>
      <c r="K156" s="9" t="str">
        <f>HYPERLINK("http://plants.ensembl.org/Zea_mays/Gene/Summary?db=otherfeatures;g=GRMZM2G147243","GRMZM2G147243")</f>
        <v>GRMZM2G147243</v>
      </c>
      <c r="L156" s="6"/>
      <c r="M156" t="s">
        <v>973</v>
      </c>
      <c r="N156" t="s">
        <v>973</v>
      </c>
      <c r="O156" t="s">
        <v>973</v>
      </c>
      <c r="P156">
        <v>1</v>
      </c>
      <c r="S156" t="s">
        <v>973</v>
      </c>
      <c r="T156" s="6"/>
      <c r="U156" s="11">
        <v>8.9643836136788799</v>
      </c>
      <c r="V156" s="11">
        <v>7.1193129425790218</v>
      </c>
      <c r="W156" s="11">
        <v>9.5386455030175927</v>
      </c>
      <c r="X156" s="11">
        <v>8.4878090898928313</v>
      </c>
      <c r="Y156" s="11">
        <v>9.4062515706532075</v>
      </c>
      <c r="Z156" s="11">
        <v>8.552130595787423</v>
      </c>
      <c r="AA156" s="11">
        <v>9.8215084803990198</v>
      </c>
      <c r="AB156" s="11">
        <v>8.8053767307464952</v>
      </c>
      <c r="AC156" s="11">
        <v>10.42490074930814</v>
      </c>
      <c r="AD156" s="11">
        <v>9.4542088010002878</v>
      </c>
      <c r="AE156" s="11">
        <v>10.100274984268946</v>
      </c>
      <c r="AF156" s="11">
        <v>9.4798682913350376</v>
      </c>
      <c r="AG156" s="11">
        <v>10.142610508319684</v>
      </c>
      <c r="AH156" s="11">
        <v>9.3343439841993909</v>
      </c>
      <c r="AI156" s="11">
        <v>10.176955674760459</v>
      </c>
      <c r="AJ156" s="11">
        <v>9.3994007700226181</v>
      </c>
      <c r="AK156" s="6"/>
      <c r="AL156" t="s">
        <v>1075</v>
      </c>
      <c r="AM156">
        <v>0</v>
      </c>
      <c r="AN156" s="6"/>
      <c r="AO156" s="20">
        <v>-1.4924999999999999</v>
      </c>
      <c r="AP156" s="20">
        <v>-2.5264000000000002</v>
      </c>
      <c r="AQ156" s="20">
        <v>-0.56130000000000002</v>
      </c>
      <c r="AR156" s="20">
        <v>-0.98950000000000005</v>
      </c>
      <c r="AS156" s="20">
        <v>-0.73570000000000002</v>
      </c>
      <c r="AT156" s="20">
        <v>-0.78710000000000002</v>
      </c>
      <c r="AU156" s="20">
        <v>-0.35499999999999998</v>
      </c>
      <c r="AV156" s="20">
        <v>-0.59460000000000002</v>
      </c>
      <c r="AW156" s="6"/>
      <c r="AX156" s="18">
        <v>3.001E-17</v>
      </c>
      <c r="AY156" s="18">
        <v>5.5910000000000005E-29</v>
      </c>
      <c r="AZ156" s="18">
        <v>9.366E-4</v>
      </c>
      <c r="BA156" s="18">
        <v>1.1819999999999999E-8</v>
      </c>
      <c r="BB156" s="18">
        <v>1.4759999999999999E-5</v>
      </c>
      <c r="BC156" s="18">
        <v>5.4809999999999997E-6</v>
      </c>
      <c r="BD156" s="18">
        <v>3.5580000000000001E-2</v>
      </c>
      <c r="BE156" s="18">
        <v>5.7629999999999997E-4</v>
      </c>
      <c r="BF156" s="13"/>
      <c r="BG156" t="s">
        <v>1164</v>
      </c>
      <c r="BH156" t="s">
        <v>1157</v>
      </c>
      <c r="BI156" t="s">
        <v>1113</v>
      </c>
      <c r="BJ156" t="s">
        <v>1312</v>
      </c>
      <c r="BK156" t="s">
        <v>1115</v>
      </c>
      <c r="BL156" t="s">
        <v>1116</v>
      </c>
      <c r="BM156" t="s">
        <v>1117</v>
      </c>
      <c r="BN156" s="13"/>
      <c r="BO156" t="s">
        <v>973</v>
      </c>
      <c r="BP156" t="s">
        <v>973</v>
      </c>
      <c r="BQ156" t="s">
        <v>973</v>
      </c>
      <c r="BR156" t="s">
        <v>973</v>
      </c>
    </row>
    <row r="157" spans="1:70" x14ac:dyDescent="0.25">
      <c r="A157" t="s">
        <v>312</v>
      </c>
      <c r="B157" t="s">
        <v>313</v>
      </c>
      <c r="C157" t="s">
        <v>18</v>
      </c>
      <c r="D157" s="6"/>
      <c r="E157" s="9" t="str">
        <f>HYPERLINK("http://plants.ensembl.org/Triticum_aestivum/Gene/Summary?g=TRIAE_CS42_3AL_TGACv1_196147_AA0657640","TRIAE_CS42_3AL_TGACv1_196147_AA0657640")</f>
        <v>TRIAE_CS42_3AL_TGACv1_196147_AA0657640</v>
      </c>
      <c r="F157" s="9" t="str">
        <f>HYPERLINK("http://mar2016-plants.ensembl.org/Triticum_aestivum/Gene/Summary?db=core;g=Traes_3AL_C8CC634C4","Traes_3AL_C8CC634C4")</f>
        <v>Traes_3AL_C8CC634C4</v>
      </c>
      <c r="H157" s="8" t="str">
        <f>HYPERLINK("http://plants.ensembl.org/Brachypodium_distachyon/Gene/Summary?g=Bradi2g46420","Bradi2g46420")</f>
        <v>Bradi2g46420</v>
      </c>
      <c r="I157" s="1" t="s">
        <v>1051</v>
      </c>
      <c r="J157" s="9" t="str">
        <f>HYPERLINK("http://plants.ensembl.org/Oryza_sativa/Gene/Summary?db=otherfeatures;g=LOC_Os01g48444","LOC_Os01g48444")</f>
        <v>LOC_Os01g48444</v>
      </c>
      <c r="L157" s="6"/>
      <c r="M157" s="1" t="s">
        <v>973</v>
      </c>
      <c r="N157" s="1" t="s">
        <v>973</v>
      </c>
      <c r="O157" s="1" t="s">
        <v>973</v>
      </c>
      <c r="P157" s="1">
        <v>1</v>
      </c>
      <c r="Q157" s="1" t="s">
        <v>973</v>
      </c>
      <c r="R157" s="1" t="s">
        <v>973</v>
      </c>
      <c r="S157" s="1"/>
      <c r="T157" s="6"/>
      <c r="U157" s="11">
        <v>6.7281186980907624</v>
      </c>
      <c r="V157" s="11">
        <v>4.9494804613021346</v>
      </c>
      <c r="W157" s="11">
        <v>6.2423116004225854</v>
      </c>
      <c r="X157" s="11">
        <v>5.9425090316891342</v>
      </c>
      <c r="Y157" s="11">
        <v>6.2924621372472762</v>
      </c>
      <c r="Z157" s="11">
        <v>5.8198256929471208</v>
      </c>
      <c r="AA157" s="11">
        <v>6.4484291135980225</v>
      </c>
      <c r="AB157" s="11">
        <v>5.7069577907511899</v>
      </c>
      <c r="AC157" s="11">
        <v>6.8017643952826177</v>
      </c>
      <c r="AD157" s="11">
        <v>6.2876366649269348</v>
      </c>
      <c r="AE157" s="11">
        <v>6.9151539659404655</v>
      </c>
      <c r="AF157" s="11">
        <v>6.313244642284169</v>
      </c>
      <c r="AG157" s="11">
        <v>6.6500962772784549</v>
      </c>
      <c r="AH157" s="11">
        <v>5.8988621422395742</v>
      </c>
      <c r="AI157" s="11">
        <v>6.6530461596730861</v>
      </c>
      <c r="AJ157" s="11">
        <v>6.3421452079119387</v>
      </c>
      <c r="AK157" s="6"/>
      <c r="AL157" t="s">
        <v>1105</v>
      </c>
      <c r="AM157">
        <v>0</v>
      </c>
      <c r="AN157" s="6"/>
      <c r="AO157" s="20">
        <v>-0.17730000000000001</v>
      </c>
      <c r="AP157" s="20">
        <v>-1.2481</v>
      </c>
      <c r="AQ157" s="20">
        <v>-0.67710000000000004</v>
      </c>
      <c r="AR157" s="20">
        <v>-0.379</v>
      </c>
      <c r="AS157" s="20">
        <v>-0.36280000000000001</v>
      </c>
      <c r="AT157" s="20">
        <v>-8.6199999999999999E-2</v>
      </c>
      <c r="AU157" s="20">
        <v>-0.19370000000000001</v>
      </c>
      <c r="AV157" s="20">
        <v>-0.64359999999999995</v>
      </c>
      <c r="AW157" s="6"/>
      <c r="AX157" s="18">
        <v>0.40010000000000001</v>
      </c>
      <c r="AY157" s="18">
        <v>1.85E-4</v>
      </c>
      <c r="AZ157" s="18">
        <v>3.901E-4</v>
      </c>
      <c r="BA157" s="18">
        <v>6.5869999999999998E-2</v>
      </c>
      <c r="BB157" s="18">
        <v>5.8520000000000003E-2</v>
      </c>
      <c r="BC157" s="18">
        <v>0.68479999999999996</v>
      </c>
      <c r="BD157" s="18">
        <v>0.30349999999999999</v>
      </c>
      <c r="BE157" s="18">
        <v>2.2330000000000002E-3</v>
      </c>
      <c r="BF157" s="13"/>
      <c r="BG157" t="s">
        <v>1111</v>
      </c>
      <c r="BH157" t="s">
        <v>1112</v>
      </c>
      <c r="BI157" t="s">
        <v>1113</v>
      </c>
      <c r="BJ157" t="s">
        <v>1148</v>
      </c>
      <c r="BK157" t="s">
        <v>1115</v>
      </c>
      <c r="BL157" t="s">
        <v>1116</v>
      </c>
      <c r="BM157" t="s">
        <v>1117</v>
      </c>
      <c r="BN157" s="13"/>
      <c r="BO157" t="s">
        <v>973</v>
      </c>
      <c r="BP157" t="s">
        <v>973</v>
      </c>
      <c r="BQ157" t="s">
        <v>973</v>
      </c>
      <c r="BR157" t="s">
        <v>973</v>
      </c>
    </row>
    <row r="158" spans="1:70" x14ac:dyDescent="0.25">
      <c r="A158" t="s">
        <v>314</v>
      </c>
      <c r="B158" t="s">
        <v>315</v>
      </c>
      <c r="C158" t="s">
        <v>18</v>
      </c>
      <c r="D158" s="6"/>
      <c r="E158" s="9" t="str">
        <f>HYPERLINK("http://plants.ensembl.org/Triticum_aestivum/Gene/Summary?g=TRIAE_CS42_3AL_TGACv1_195115_AA0644950","TRIAE_CS42_3AL_TGACv1_195115_AA0644950")</f>
        <v>TRIAE_CS42_3AL_TGACv1_195115_AA0644950</v>
      </c>
      <c r="F158" s="9" t="str">
        <f>HYPERLINK("http://mar2016-plants.ensembl.org/Triticum_aestivum/Gene/Summary?db=core;g=Traes_3AL_E77F7C3EE","Traes_3AL_E77F7C3EE")</f>
        <v>Traes_3AL_E77F7C3EE</v>
      </c>
      <c r="G158" t="s">
        <v>998</v>
      </c>
      <c r="H158" s="8" t="str">
        <f>HYPERLINK("http://plants.ensembl.org/Brachypodium_distachyon/Gene/Summary?g=Bradi2g49420","Bradi2g49420")</f>
        <v>Bradi2g49420</v>
      </c>
      <c r="I158" s="1" t="s">
        <v>1051</v>
      </c>
      <c r="J158" s="9" t="str">
        <f>HYPERLINK("http://plants.ensembl.org/Oryza_sativa/Gene/Summary?db=otherfeatures;g=LOC_Os01g53880","LOC_Os01g53880")</f>
        <v>LOC_Os01g53880</v>
      </c>
      <c r="K158" s="9" t="str">
        <f>HYPERLINK("http://plants.ensembl.org/Zea_mays/Gene/Summary?db=otherfeatures;g=GRMZM2G057067","GRMZM2G057067")</f>
        <v>GRMZM2G057067</v>
      </c>
      <c r="L158" s="6"/>
      <c r="M158" t="s">
        <v>973</v>
      </c>
      <c r="N158" t="s">
        <v>973</v>
      </c>
      <c r="O158" t="s">
        <v>973</v>
      </c>
      <c r="P158">
        <v>1</v>
      </c>
      <c r="S158" t="s">
        <v>973</v>
      </c>
      <c r="T158" s="6"/>
      <c r="U158" s="11">
        <v>8.6247838825793757</v>
      </c>
      <c r="V158" s="11">
        <v>9.1974154288913255</v>
      </c>
      <c r="W158" s="11">
        <v>7.2708375688631337</v>
      </c>
      <c r="X158" s="11">
        <v>8.3928727820890874</v>
      </c>
      <c r="Y158" s="11">
        <v>7.5813600354889941</v>
      </c>
      <c r="Z158" s="11">
        <v>7.6627756465708874</v>
      </c>
      <c r="AA158" s="11">
        <v>6.7276046603339985</v>
      </c>
      <c r="AB158" s="11">
        <v>7.8198188820833563</v>
      </c>
      <c r="AC158" s="11">
        <v>4.502194796285286</v>
      </c>
      <c r="AD158" s="11">
        <v>5.6675591280730435</v>
      </c>
      <c r="AE158" s="11">
        <v>4.4719981251978806</v>
      </c>
      <c r="AF158" s="11">
        <v>5.8707469214842565</v>
      </c>
      <c r="AG158" s="11">
        <v>4.7591505062607418</v>
      </c>
      <c r="AH158" s="11">
        <v>5.1347740311418022</v>
      </c>
      <c r="AI158" s="11">
        <v>4.7824522505256715</v>
      </c>
      <c r="AJ158" s="11">
        <v>6.2465316003701181</v>
      </c>
      <c r="AK158" s="6"/>
      <c r="AL158" t="s">
        <v>1077</v>
      </c>
      <c r="AM158">
        <v>96</v>
      </c>
      <c r="AN158" s="6"/>
      <c r="AO158" s="20">
        <v>4.1342999999999996</v>
      </c>
      <c r="AP158" s="20">
        <v>3.3409</v>
      </c>
      <c r="AQ158" s="20">
        <v>2.8334000000000001</v>
      </c>
      <c r="AR158" s="20">
        <v>2.5144000000000002</v>
      </c>
      <c r="AS158" s="20">
        <v>2.8443000000000001</v>
      </c>
      <c r="AT158" s="20">
        <v>2.5375000000000001</v>
      </c>
      <c r="AU158" s="20">
        <v>1.9714</v>
      </c>
      <c r="AV158" s="20">
        <v>1.5749</v>
      </c>
      <c r="AW158" s="6"/>
      <c r="AX158" s="18">
        <v>4.3449999999999996E-24</v>
      </c>
      <c r="AY158" s="18">
        <v>3.7110000000000001E-16</v>
      </c>
      <c r="AZ158" s="18">
        <v>2.2600000000000001E-12</v>
      </c>
      <c r="BA158" s="18">
        <v>5.1689999999999998E-11</v>
      </c>
      <c r="BB158" s="18">
        <v>2.781E-13</v>
      </c>
      <c r="BC158" s="18">
        <v>1.109E-10</v>
      </c>
      <c r="BD158" s="18">
        <v>7.1470000000000001E-7</v>
      </c>
      <c r="BE158" s="18">
        <v>3.3689999999999998E-5</v>
      </c>
      <c r="BF158" s="13"/>
      <c r="BG158" t="s">
        <v>1131</v>
      </c>
      <c r="BH158" t="s">
        <v>1192</v>
      </c>
      <c r="BI158" t="s">
        <v>1113</v>
      </c>
      <c r="BJ158" t="s">
        <v>1267</v>
      </c>
      <c r="BK158" t="s">
        <v>1115</v>
      </c>
      <c r="BL158" t="s">
        <v>1116</v>
      </c>
      <c r="BM158" t="s">
        <v>1117</v>
      </c>
      <c r="BN158" s="13"/>
      <c r="BO158" t="s">
        <v>973</v>
      </c>
      <c r="BP158" t="s">
        <v>973</v>
      </c>
      <c r="BQ158" t="s">
        <v>973</v>
      </c>
      <c r="BR158" t="s">
        <v>973</v>
      </c>
    </row>
    <row r="159" spans="1:70" x14ac:dyDescent="0.25">
      <c r="A159" t="s">
        <v>366</v>
      </c>
      <c r="B159" t="s">
        <v>367</v>
      </c>
      <c r="C159" t="s">
        <v>18</v>
      </c>
      <c r="D159" s="6"/>
      <c r="E159" s="9" t="str">
        <f>HYPERLINK("http://plants.ensembl.org/Triticum_aestivum/Gene/Summary?g=TRIAE_CS42_3B_TGACv1_221102_AA0730380","TRIAE_CS42_3B_TGACv1_221102_AA0730380")</f>
        <v>TRIAE_CS42_3B_TGACv1_221102_AA0730380</v>
      </c>
      <c r="F159" s="9" t="str">
        <f>HYPERLINK("http://mar2016-plants.ensembl.org/Triticum_aestivum/Gene/Summary?db=core;g=TRAES3BF029500010CFD","TRAES3BF029500010CFD")</f>
        <v>TRAES3BF029500010CFD</v>
      </c>
      <c r="H159" s="1" t="s">
        <v>1051</v>
      </c>
      <c r="I159" s="1" t="s">
        <v>1051</v>
      </c>
      <c r="J159" s="1" t="s">
        <v>1051</v>
      </c>
      <c r="L159" s="6"/>
      <c r="M159" s="1" t="s">
        <v>973</v>
      </c>
      <c r="N159" s="1" t="s">
        <v>973</v>
      </c>
      <c r="O159" s="1" t="s">
        <v>973</v>
      </c>
      <c r="P159" s="1">
        <v>1</v>
      </c>
      <c r="Q159" s="1" t="s">
        <v>973</v>
      </c>
      <c r="R159" s="1" t="s">
        <v>973</v>
      </c>
      <c r="S159" s="1"/>
      <c r="T159" s="6"/>
      <c r="U159" s="11">
        <v>7.1418026548390126</v>
      </c>
      <c r="V159" s="11">
        <v>6.8186592895735325</v>
      </c>
      <c r="W159" s="11">
        <v>6.3866948549634293</v>
      </c>
      <c r="X159" s="11">
        <v>5.8291188963492608</v>
      </c>
      <c r="Y159" s="11">
        <v>7.0609372612341836</v>
      </c>
      <c r="Z159" s="11">
        <v>5.8290216157738888</v>
      </c>
      <c r="AA159" s="11">
        <v>6.3618402818684228</v>
      </c>
      <c r="AB159" s="11">
        <v>5.2211707659389974</v>
      </c>
      <c r="AC159" s="11">
        <v>4.9628204473859556</v>
      </c>
      <c r="AD159" s="11">
        <v>4.503126079863276</v>
      </c>
      <c r="AE159" s="11">
        <v>5.1198043555898121</v>
      </c>
      <c r="AF159" s="11">
        <v>4.880370442041472</v>
      </c>
      <c r="AG159" s="11">
        <v>5.4190107055320889</v>
      </c>
      <c r="AH159" s="11">
        <v>4.2021982835884648</v>
      </c>
      <c r="AI159" s="11">
        <v>4.3754403173983887</v>
      </c>
      <c r="AJ159" s="11">
        <v>4.0553576417034778</v>
      </c>
      <c r="AK159" s="6"/>
      <c r="AL159" t="s">
        <v>1077</v>
      </c>
      <c r="AM159">
        <v>243</v>
      </c>
      <c r="AN159" s="6"/>
      <c r="AO159" s="20">
        <v>2.2443</v>
      </c>
      <c r="AP159" s="20">
        <v>2.1638999999999999</v>
      </c>
      <c r="AQ159" s="20">
        <v>1.2736000000000001</v>
      </c>
      <c r="AR159" s="20">
        <v>0.93669999999999998</v>
      </c>
      <c r="AS159" s="20">
        <v>1.6375</v>
      </c>
      <c r="AT159" s="20">
        <v>1.6474</v>
      </c>
      <c r="AU159" s="20">
        <v>2.0122</v>
      </c>
      <c r="AV159" s="20">
        <v>1.1912</v>
      </c>
      <c r="AW159" s="6"/>
      <c r="AX159" s="18">
        <v>1.008E-4</v>
      </c>
      <c r="AY159" s="18">
        <v>5.3759999999999995E-4</v>
      </c>
      <c r="AZ159" s="18">
        <v>2.5020000000000001E-2</v>
      </c>
      <c r="BA159" s="18">
        <v>0.10390000000000001</v>
      </c>
      <c r="BB159" s="18">
        <v>3.5079999999999998E-3</v>
      </c>
      <c r="BC159" s="18">
        <v>4.9509999999999997E-3</v>
      </c>
      <c r="BD159" s="18">
        <v>4.795E-4</v>
      </c>
      <c r="BE159" s="18">
        <v>4.4019999999999997E-2</v>
      </c>
      <c r="BF159" s="13"/>
      <c r="BG159" t="s">
        <v>1143</v>
      </c>
      <c r="BH159" t="s">
        <v>1155</v>
      </c>
      <c r="BI159" t="s">
        <v>1113</v>
      </c>
      <c r="BJ159" t="s">
        <v>1114</v>
      </c>
      <c r="BK159" t="s">
        <v>1115</v>
      </c>
      <c r="BL159" t="s">
        <v>1116</v>
      </c>
      <c r="BM159" t="s">
        <v>1117</v>
      </c>
      <c r="BN159" s="13"/>
      <c r="BO159" t="s">
        <v>973</v>
      </c>
      <c r="BP159" t="s">
        <v>973</v>
      </c>
      <c r="BQ159" t="s">
        <v>973</v>
      </c>
      <c r="BR159" t="s">
        <v>973</v>
      </c>
    </row>
    <row r="160" spans="1:70" x14ac:dyDescent="0.25">
      <c r="A160" t="s">
        <v>373</v>
      </c>
      <c r="B160" t="s">
        <v>374</v>
      </c>
      <c r="C160" t="s">
        <v>18</v>
      </c>
      <c r="D160" s="6"/>
      <c r="E160" s="9" t="str">
        <f>HYPERLINK("http://plants.ensembl.org/Triticum_aestivum/Gene/Summary?g=TRIAE_CS42_3B_TGACv1_221170_AA0732770","TRIAE_CS42_3B_TGACv1_221170_AA0732770")</f>
        <v>TRIAE_CS42_3B_TGACv1_221170_AA0732770</v>
      </c>
      <c r="F160" s="9" t="str">
        <f>HYPERLINK("http://mar2016-plants.ensembl.org/Triticum_aestivum/Gene/Summary?db=core;g=TRAES3BF018500020CFD","TRAES3BF018500020CFD")</f>
        <v>TRAES3BF018500020CFD</v>
      </c>
      <c r="G160" t="s">
        <v>997</v>
      </c>
      <c r="H160" s="8" t="str">
        <f>HYPERLINK("http://plants.ensembl.org/Brachypodium_distachyon/Gene/Summary?g=Bradi2g07770","Bradi2g07770")</f>
        <v>Bradi2g07770</v>
      </c>
      <c r="I160" s="1" t="s">
        <v>1051</v>
      </c>
      <c r="J160" s="9" t="str">
        <f>HYPERLINK("http://plants.ensembl.org/Oryza_sativa/Gene/Summary?db=otherfeatures;g=LOC_Os01g13030","LOC_Os01g13030")</f>
        <v>LOC_Os01g13030</v>
      </c>
      <c r="K160" s="9" t="str">
        <f>HYPERLINK("http://plants.ensembl.org/Zea_mays/Gene/Summary?db=otherfeatures;g=GRMZM2G147243","GRMZM2G147243")</f>
        <v>GRMZM2G147243</v>
      </c>
      <c r="L160" s="6"/>
      <c r="M160" t="s">
        <v>973</v>
      </c>
      <c r="N160" t="s">
        <v>973</v>
      </c>
      <c r="O160" t="s">
        <v>973</v>
      </c>
      <c r="P160">
        <v>1</v>
      </c>
      <c r="S160" t="s">
        <v>973</v>
      </c>
      <c r="T160" s="6"/>
      <c r="U160" s="11">
        <v>10.025484687859608</v>
      </c>
      <c r="V160" s="11">
        <v>8.4395800610540306</v>
      </c>
      <c r="W160" s="11">
        <v>9.7313283095045104</v>
      </c>
      <c r="X160" s="11">
        <v>8.8752178339749257</v>
      </c>
      <c r="Y160" s="11">
        <v>9.7503709601943545</v>
      </c>
      <c r="Z160" s="11">
        <v>9.1482332737059409</v>
      </c>
      <c r="AA160" s="11">
        <v>9.8861263726783335</v>
      </c>
      <c r="AB160" s="11">
        <v>9.1363407704557513</v>
      </c>
      <c r="AC160" s="11">
        <v>10.455176983126851</v>
      </c>
      <c r="AD160" s="11">
        <v>9.5558486132902924</v>
      </c>
      <c r="AE160" s="11">
        <v>10.018619663370876</v>
      </c>
      <c r="AF160" s="11">
        <v>9.5101636286682734</v>
      </c>
      <c r="AG160" s="11">
        <v>10.07301398929509</v>
      </c>
      <c r="AH160" s="11">
        <v>9.2962930451864807</v>
      </c>
      <c r="AI160" s="11">
        <v>10.062879888754237</v>
      </c>
      <c r="AJ160" s="11">
        <v>9.3401827342945118</v>
      </c>
      <c r="AK160" s="6"/>
      <c r="AL160" t="s">
        <v>1105</v>
      </c>
      <c r="AM160">
        <v>0</v>
      </c>
      <c r="AN160" s="6"/>
      <c r="AO160" s="20">
        <v>-0.45</v>
      </c>
      <c r="AP160" s="20">
        <v>-1.2789999999999999</v>
      </c>
      <c r="AQ160" s="20">
        <v>-0.28770000000000001</v>
      </c>
      <c r="AR160" s="20">
        <v>-0.63170000000000004</v>
      </c>
      <c r="AS160" s="20">
        <v>-0.32229999999999998</v>
      </c>
      <c r="AT160" s="20">
        <v>-0.15060000000000001</v>
      </c>
      <c r="AU160" s="20">
        <v>-0.1762</v>
      </c>
      <c r="AV160" s="20">
        <v>-0.20430000000000001</v>
      </c>
      <c r="AW160" s="6"/>
      <c r="AX160" s="18">
        <v>1.4649999999999999E-3</v>
      </c>
      <c r="AY160" s="18">
        <v>5.8619999999999994E-14</v>
      </c>
      <c r="AZ160" s="18">
        <v>3.7560000000000003E-2</v>
      </c>
      <c r="BA160" s="18">
        <v>8.473E-6</v>
      </c>
      <c r="BB160" s="18">
        <v>1.9640000000000001E-2</v>
      </c>
      <c r="BC160" s="18">
        <v>0.2863</v>
      </c>
      <c r="BD160" s="18">
        <v>0.20080000000000001</v>
      </c>
      <c r="BE160" s="18">
        <v>0.14849999999999999</v>
      </c>
      <c r="BF160" s="13"/>
      <c r="BG160" t="s">
        <v>1128</v>
      </c>
      <c r="BH160" t="s">
        <v>1112</v>
      </c>
      <c r="BI160" t="s">
        <v>1113</v>
      </c>
      <c r="BJ160" t="s">
        <v>1148</v>
      </c>
      <c r="BK160" t="s">
        <v>1115</v>
      </c>
      <c r="BL160" t="s">
        <v>1116</v>
      </c>
      <c r="BM160" t="s">
        <v>1117</v>
      </c>
      <c r="BN160" s="13"/>
      <c r="BO160" t="s">
        <v>973</v>
      </c>
      <c r="BP160" t="s">
        <v>973</v>
      </c>
      <c r="BQ160" t="s">
        <v>973</v>
      </c>
      <c r="BR160" t="s">
        <v>973</v>
      </c>
    </row>
    <row r="161" spans="1:70" x14ac:dyDescent="0.25">
      <c r="A161" t="s">
        <v>379</v>
      </c>
      <c r="B161" t="s">
        <v>380</v>
      </c>
      <c r="C161" t="s">
        <v>18</v>
      </c>
      <c r="D161" s="6"/>
      <c r="E161" s="9" t="str">
        <f>HYPERLINK("http://plants.ensembl.org/Triticum_aestivum/Gene/Summary?g=TRIAE_CS42_3B_TGACv1_223292_AA0779860","TRIAE_CS42_3B_TGACv1_223292_AA0779860")</f>
        <v>TRIAE_CS42_3B_TGACv1_223292_AA0779860</v>
      </c>
      <c r="F161" s="9" t="str">
        <f>HYPERLINK("http://mar2016-plants.ensembl.org/Triticum_aestivum/Gene/Summary?db=core;g=TRAES3BF128700030CFD","TRAES3BF128700030CFD")</f>
        <v>TRAES3BF128700030CFD</v>
      </c>
      <c r="H161" s="8" t="str">
        <f>HYPERLINK("http://plants.ensembl.org/Brachypodium_distachyon/Gene/Summary?g=Bradi2g49420","Bradi2g49420")</f>
        <v>Bradi2g49420</v>
      </c>
      <c r="I161" s="8" t="str">
        <f>HYPERLINK("http://plants.ensembl.org/Arabidopsis_thaliana/Gene/Summary?g=AT3G16500","AT3G16500")</f>
        <v>AT3G16500</v>
      </c>
      <c r="J161" s="9" t="str">
        <f>HYPERLINK("http://plants.ensembl.org/Oryza_sativa/Gene/Summary?db=otherfeatures;g=LOC_Os01g53880","LOC_Os01g53880")</f>
        <v>LOC_Os01g53880</v>
      </c>
      <c r="L161" s="6"/>
      <c r="M161" s="1" t="s">
        <v>973</v>
      </c>
      <c r="N161" s="1" t="s">
        <v>973</v>
      </c>
      <c r="O161" s="1" t="s">
        <v>973</v>
      </c>
      <c r="P161" s="1">
        <v>1</v>
      </c>
      <c r="Q161" s="1" t="s">
        <v>973</v>
      </c>
      <c r="R161" s="1" t="s">
        <v>973</v>
      </c>
      <c r="S161" s="1"/>
      <c r="T161" s="6"/>
      <c r="U161" s="11">
        <v>8.0893180569530809</v>
      </c>
      <c r="V161" s="11">
        <v>8.6887702851203006</v>
      </c>
      <c r="W161" s="11">
        <v>6.3049739782085013</v>
      </c>
      <c r="X161" s="11">
        <v>6.9434388632891446</v>
      </c>
      <c r="Y161" s="11">
        <v>6.4541270785450999</v>
      </c>
      <c r="Z161" s="11">
        <v>6.2969987752978183</v>
      </c>
      <c r="AA161" s="11">
        <v>6.5990558945903315</v>
      </c>
      <c r="AB161" s="11">
        <v>7.0091302828666837</v>
      </c>
      <c r="AC161" s="11">
        <v>4.4579838255816577</v>
      </c>
      <c r="AD161" s="11">
        <v>5.5943674051091765</v>
      </c>
      <c r="AE161" s="11">
        <v>4.6211668904405583</v>
      </c>
      <c r="AF161" s="11">
        <v>5.386885653889113</v>
      </c>
      <c r="AG161" s="11">
        <v>4.7353560917311661</v>
      </c>
      <c r="AH161" s="11">
        <v>4.5462030350000813</v>
      </c>
      <c r="AI161" s="11">
        <v>5.3115346002098782</v>
      </c>
      <c r="AJ161" s="11">
        <v>5.5758961893374623</v>
      </c>
      <c r="AK161" s="6"/>
      <c r="AL161" t="s">
        <v>1077</v>
      </c>
      <c r="AM161">
        <v>25</v>
      </c>
      <c r="AN161" s="6"/>
      <c r="AO161" s="20">
        <v>3.6852</v>
      </c>
      <c r="AP161" s="20">
        <v>3.0828000000000002</v>
      </c>
      <c r="AQ161" s="20">
        <v>1.7010000000000001</v>
      </c>
      <c r="AR161" s="20">
        <v>1.5422</v>
      </c>
      <c r="AS161" s="20">
        <v>1.7408999999999999</v>
      </c>
      <c r="AT161" s="20">
        <v>1.7688999999999999</v>
      </c>
      <c r="AU161" s="20">
        <v>1.302</v>
      </c>
      <c r="AV161" s="20">
        <v>1.4438</v>
      </c>
      <c r="AW161" s="6"/>
      <c r="AX161" s="18">
        <v>4.2300000000000001E-24</v>
      </c>
      <c r="AY161" s="18">
        <v>4.2850000000000002E-17</v>
      </c>
      <c r="AZ161" s="18">
        <v>1.7179999999999999E-6</v>
      </c>
      <c r="BA161" s="18">
        <v>6.1940000000000003E-6</v>
      </c>
      <c r="BB161" s="18">
        <v>4.2529999999999998E-7</v>
      </c>
      <c r="BC161" s="18">
        <v>1.0070000000000001E-6</v>
      </c>
      <c r="BD161" s="18">
        <v>1.261E-4</v>
      </c>
      <c r="BE161" s="18">
        <v>1.8110000000000001E-5</v>
      </c>
      <c r="BF161" s="13"/>
      <c r="BG161" t="s">
        <v>1268</v>
      </c>
      <c r="BH161" t="s">
        <v>1132</v>
      </c>
      <c r="BI161" t="s">
        <v>1113</v>
      </c>
      <c r="BJ161" t="s">
        <v>1114</v>
      </c>
      <c r="BK161" t="s">
        <v>1115</v>
      </c>
      <c r="BL161" t="s">
        <v>1116</v>
      </c>
      <c r="BM161" t="s">
        <v>1117</v>
      </c>
      <c r="BN161" s="13"/>
      <c r="BO161" t="s">
        <v>973</v>
      </c>
      <c r="BP161" t="s">
        <v>973</v>
      </c>
      <c r="BQ161" t="s">
        <v>973</v>
      </c>
      <c r="BR161" t="s">
        <v>973</v>
      </c>
    </row>
    <row r="162" spans="1:70" x14ac:dyDescent="0.25">
      <c r="A162" t="s">
        <v>410</v>
      </c>
      <c r="B162" t="s">
        <v>411</v>
      </c>
      <c r="C162" t="s">
        <v>18</v>
      </c>
      <c r="D162" s="6"/>
      <c r="E162" s="9" t="str">
        <f>HYPERLINK("http://plants.ensembl.org/Triticum_aestivum/Gene/Summary?g=TRIAE_CS42_3DS_TGACv1_271843_AA0909280","TRIAE_CS42_3DS_TGACv1_271843_AA0909280")</f>
        <v>TRIAE_CS42_3DS_TGACv1_271843_AA0909280</v>
      </c>
      <c r="H162" s="1" t="s">
        <v>1051</v>
      </c>
      <c r="I162" s="1" t="s">
        <v>1051</v>
      </c>
      <c r="J162" s="1" t="s">
        <v>1051</v>
      </c>
      <c r="L162" s="6"/>
      <c r="M162" s="1" t="s">
        <v>973</v>
      </c>
      <c r="N162" s="1" t="s">
        <v>973</v>
      </c>
      <c r="O162" s="1" t="s">
        <v>973</v>
      </c>
      <c r="P162" s="1">
        <v>1</v>
      </c>
      <c r="Q162" s="1" t="s">
        <v>973</v>
      </c>
      <c r="R162" s="1" t="s">
        <v>973</v>
      </c>
      <c r="S162" s="1"/>
      <c r="T162" s="6"/>
      <c r="U162" s="11">
        <v>7.7252530875376735</v>
      </c>
      <c r="V162" s="11">
        <v>7.3626355752509713</v>
      </c>
      <c r="W162" s="11">
        <v>6.8353169302211958</v>
      </c>
      <c r="X162" s="11">
        <v>6.4247983881512969</v>
      </c>
      <c r="Y162" s="11">
        <v>7.4407952665189185</v>
      </c>
      <c r="Z162" s="11">
        <v>6.3086521110517708</v>
      </c>
      <c r="AA162" s="11">
        <v>7.1032955027650555</v>
      </c>
      <c r="AB162" s="11">
        <v>5.6043066124717154</v>
      </c>
      <c r="AC162" s="11">
        <v>5.4551858210409891</v>
      </c>
      <c r="AD162" s="11">
        <v>6.0946886007933641</v>
      </c>
      <c r="AE162" s="11">
        <v>5.7842247696442186</v>
      </c>
      <c r="AF162" s="11">
        <v>5.5487890349261928</v>
      </c>
      <c r="AG162" s="11">
        <v>6.0465216180442329</v>
      </c>
      <c r="AH162" s="11">
        <v>5.1553795540710698</v>
      </c>
      <c r="AI162" s="11">
        <v>5.1990794422012918</v>
      </c>
      <c r="AJ162" s="11">
        <v>4.6832117321396858</v>
      </c>
      <c r="AK162" s="6"/>
      <c r="AL162" t="s">
        <v>1077</v>
      </c>
      <c r="AM162">
        <v>12</v>
      </c>
      <c r="AN162" s="6"/>
      <c r="AO162" s="20">
        <v>2.3228</v>
      </c>
      <c r="AP162" s="20">
        <v>1.3792</v>
      </c>
      <c r="AQ162" s="20">
        <v>1.0538000000000001</v>
      </c>
      <c r="AR162" s="20">
        <v>0.87370000000000003</v>
      </c>
      <c r="AS162" s="20">
        <v>1.3895999999999999</v>
      </c>
      <c r="AT162" s="20">
        <v>1.1617999999999999</v>
      </c>
      <c r="AU162" s="20">
        <v>1.9132</v>
      </c>
      <c r="AV162" s="20">
        <v>0.93489999999999995</v>
      </c>
      <c r="AW162" s="6"/>
      <c r="AX162" s="18">
        <v>1.623E-6</v>
      </c>
      <c r="AY162" s="18">
        <v>6.7400000000000003E-3</v>
      </c>
      <c r="AZ162" s="18">
        <v>2.6839999999999999E-2</v>
      </c>
      <c r="BA162" s="18">
        <v>6.966E-2</v>
      </c>
      <c r="BB162" s="18">
        <v>3.1459999999999999E-3</v>
      </c>
      <c r="BC162" s="18">
        <v>1.6799999999999999E-2</v>
      </c>
      <c r="BD162" s="18">
        <v>6.5879999999999999E-5</v>
      </c>
      <c r="BE162" s="18">
        <v>5.9360000000000003E-2</v>
      </c>
      <c r="BF162" s="13"/>
      <c r="BG162" t="s">
        <v>1261</v>
      </c>
      <c r="BH162" t="s">
        <v>1155</v>
      </c>
      <c r="BI162" t="s">
        <v>1113</v>
      </c>
      <c r="BJ162" t="s">
        <v>1217</v>
      </c>
      <c r="BK162" t="s">
        <v>1115</v>
      </c>
      <c r="BL162" t="s">
        <v>1116</v>
      </c>
      <c r="BM162" t="s">
        <v>1117</v>
      </c>
      <c r="BN162" s="13"/>
      <c r="BO162" t="s">
        <v>973</v>
      </c>
      <c r="BP162" t="s">
        <v>973</v>
      </c>
      <c r="BQ162" t="s">
        <v>973</v>
      </c>
      <c r="BR162" t="s">
        <v>973</v>
      </c>
    </row>
    <row r="163" spans="1:70" x14ac:dyDescent="0.25">
      <c r="A163" t="s">
        <v>419</v>
      </c>
      <c r="B163" t="s">
        <v>420</v>
      </c>
      <c r="C163" t="s">
        <v>18</v>
      </c>
      <c r="D163" s="6"/>
      <c r="E163" s="9" t="str">
        <f>HYPERLINK("http://plants.ensembl.org/Triticum_aestivum/Gene/Summary?g=TRIAE_CS42_3DS_TGACv1_272881_AA0926070","TRIAE_CS42_3DS_TGACv1_272881_AA0926070")</f>
        <v>TRIAE_CS42_3DS_TGACv1_272881_AA0926070</v>
      </c>
      <c r="F163" s="9" t="str">
        <f>HYPERLINK("http://mar2016-plants.ensembl.org/Triticum_aestivum/Gene/Summary?db=core;g=Traes_3DS_BA5B9A06A","Traes_3DS_BA5B9A06A")</f>
        <v>Traes_3DS_BA5B9A06A</v>
      </c>
      <c r="G163" t="s">
        <v>997</v>
      </c>
      <c r="H163" s="8" t="str">
        <f>HYPERLINK("http://plants.ensembl.org/Brachypodium_distachyon/Gene/Summary?g=Bradi2g07770","Bradi2g07770")</f>
        <v>Bradi2g07770</v>
      </c>
      <c r="I163" s="1" t="s">
        <v>1051</v>
      </c>
      <c r="J163" s="9" t="str">
        <f>HYPERLINK("http://plants.ensembl.org/Oryza_sativa/Gene/Summary?db=otherfeatures;g=LOC_Os01g13030","LOC_Os01g13030")</f>
        <v>LOC_Os01g13030</v>
      </c>
      <c r="K163" s="9" t="str">
        <f>HYPERLINK("http://plants.ensembl.org/Zea_mays/Gene/Summary?db=otherfeatures;g=GRMZM2G147243","GRMZM2G147243")</f>
        <v>GRMZM2G147243</v>
      </c>
      <c r="L163" s="6"/>
      <c r="M163" t="s">
        <v>973</v>
      </c>
      <c r="N163" t="s">
        <v>973</v>
      </c>
      <c r="O163" t="s">
        <v>973</v>
      </c>
      <c r="P163">
        <v>1</v>
      </c>
      <c r="S163" t="s">
        <v>973</v>
      </c>
      <c r="T163" s="6"/>
      <c r="U163" s="11">
        <v>9.2964252859408631</v>
      </c>
      <c r="V163" s="11">
        <v>7.0592110470544647</v>
      </c>
      <c r="W163" s="11">
        <v>9.7818975636325671</v>
      </c>
      <c r="X163" s="11">
        <v>8.5184316697407638</v>
      </c>
      <c r="Y163" s="11">
        <v>9.8840663970424103</v>
      </c>
      <c r="Z163" s="11">
        <v>8.9344525153682852</v>
      </c>
      <c r="AA163" s="11">
        <v>10.166269931037442</v>
      </c>
      <c r="AB163" s="11">
        <v>9.0990699410089189</v>
      </c>
      <c r="AC163" s="11">
        <v>10.739920260393653</v>
      </c>
      <c r="AD163" s="11">
        <v>9.7834312799391867</v>
      </c>
      <c r="AE163" s="11">
        <v>10.471573036808122</v>
      </c>
      <c r="AF163" s="11">
        <v>9.7805749253877483</v>
      </c>
      <c r="AG163" s="11">
        <v>10.442613496895049</v>
      </c>
      <c r="AH163" s="11">
        <v>9.6853867943858809</v>
      </c>
      <c r="AI163" s="11">
        <v>10.40973095484585</v>
      </c>
      <c r="AJ163" s="11">
        <v>9.6084708249746882</v>
      </c>
      <c r="AK163" s="6"/>
      <c r="AL163" t="s">
        <v>1079</v>
      </c>
      <c r="AM163">
        <v>0</v>
      </c>
      <c r="AN163" s="6"/>
      <c r="AO163" s="20">
        <v>-1.4677</v>
      </c>
      <c r="AP163" s="20">
        <v>-2.7831999999999999</v>
      </c>
      <c r="AQ163" s="20">
        <v>-0.68920000000000003</v>
      </c>
      <c r="AR163" s="20">
        <v>-1.2597</v>
      </c>
      <c r="AS163" s="20">
        <v>-0.55779999999999996</v>
      </c>
      <c r="AT163" s="20">
        <v>-0.754</v>
      </c>
      <c r="AU163" s="20">
        <v>-0.2429</v>
      </c>
      <c r="AV163" s="20">
        <v>-0.50980000000000003</v>
      </c>
      <c r="AW163" s="6"/>
      <c r="AX163" s="18">
        <v>8.2890000000000004E-15</v>
      </c>
      <c r="AY163" s="18">
        <v>3.4999999999999999E-32</v>
      </c>
      <c r="AZ163" s="18">
        <v>1.7679999999999999E-4</v>
      </c>
      <c r="BA163" s="18">
        <v>1.797E-11</v>
      </c>
      <c r="BB163" s="18">
        <v>2.3879999999999999E-3</v>
      </c>
      <c r="BC163" s="18">
        <v>5.1230000000000002E-5</v>
      </c>
      <c r="BD163" s="18">
        <v>0.185</v>
      </c>
      <c r="BE163" s="18">
        <v>6.1830000000000001E-3</v>
      </c>
      <c r="BF163" s="13"/>
      <c r="BG163" t="s">
        <v>1213</v>
      </c>
      <c r="BH163" t="s">
        <v>1157</v>
      </c>
      <c r="BI163" t="s">
        <v>1113</v>
      </c>
      <c r="BJ163" t="s">
        <v>1312</v>
      </c>
      <c r="BK163" t="s">
        <v>1115</v>
      </c>
      <c r="BL163" t="s">
        <v>1116</v>
      </c>
      <c r="BM163" t="s">
        <v>1117</v>
      </c>
      <c r="BN163" s="13"/>
      <c r="BO163" t="s">
        <v>973</v>
      </c>
      <c r="BP163" t="s">
        <v>973</v>
      </c>
      <c r="BQ163" t="s">
        <v>973</v>
      </c>
      <c r="BR163" t="s">
        <v>973</v>
      </c>
    </row>
    <row r="164" spans="1:70" x14ac:dyDescent="0.25">
      <c r="A164" t="s">
        <v>423</v>
      </c>
      <c r="B164" t="s">
        <v>424</v>
      </c>
      <c r="C164" t="s">
        <v>18</v>
      </c>
      <c r="D164" s="6"/>
      <c r="E164" s="9" t="str">
        <f>HYPERLINK("http://plants.ensembl.org/Triticum_aestivum/Gene/Summary?g=TRIAE_CS42_3DL_TGACv1_251159_AA0878220","TRIAE_CS42_3DL_TGACv1_251159_AA0878220")</f>
        <v>TRIAE_CS42_3DL_TGACv1_251159_AA0878220</v>
      </c>
      <c r="F164" s="9" t="str">
        <f>HYPERLINK("http://mar2016-plants.ensembl.org/Triticum_aestivum/Gene/Summary?db=core;g=Traes_3DL_EC1DE49E1","Traes_3DL_EC1DE49E1")</f>
        <v>Traes_3DL_EC1DE49E1</v>
      </c>
      <c r="G164" t="s">
        <v>998</v>
      </c>
      <c r="H164" s="8" t="str">
        <f>HYPERLINK("http://plants.ensembl.org/Brachypodium_distachyon/Gene/Summary?g=Bradi2g49420","Bradi2g49420")</f>
        <v>Bradi2g49420</v>
      </c>
      <c r="I164" s="1" t="s">
        <v>1051</v>
      </c>
      <c r="J164" s="9" t="str">
        <f>HYPERLINK("http://plants.ensembl.org/Oryza_sativa/Gene/Summary?db=otherfeatures;g=LOC_Os01g53880","LOC_Os01g53880")</f>
        <v>LOC_Os01g53880</v>
      </c>
      <c r="K164" s="9" t="str">
        <f>HYPERLINK("http://plants.ensembl.org/Zea_mays/Gene/Summary?db=otherfeatures;g=GRMZM2G057067","GRMZM2G057067")</f>
        <v>GRMZM2G057067</v>
      </c>
      <c r="L164" s="6"/>
      <c r="M164" t="s">
        <v>973</v>
      </c>
      <c r="N164" t="s">
        <v>973</v>
      </c>
      <c r="O164" t="s">
        <v>973</v>
      </c>
      <c r="P164">
        <v>1</v>
      </c>
      <c r="S164" t="s">
        <v>973</v>
      </c>
      <c r="T164" s="6"/>
      <c r="U164" s="11">
        <v>8.311010622849242</v>
      </c>
      <c r="V164" s="11">
        <v>8.5929716063902379</v>
      </c>
      <c r="W164" s="11">
        <v>7.3061884039965248</v>
      </c>
      <c r="X164" s="11">
        <v>8.3710539181117216</v>
      </c>
      <c r="Y164" s="11">
        <v>7.6927019736336089</v>
      </c>
      <c r="Z164" s="11">
        <v>7.7709298902381798</v>
      </c>
      <c r="AA164" s="11">
        <v>7.1030873910352135</v>
      </c>
      <c r="AB164" s="11">
        <v>7.8609201849354893</v>
      </c>
      <c r="AC164" s="11">
        <v>5.6921965508052823</v>
      </c>
      <c r="AD164" s="11">
        <v>6.9436334306420964</v>
      </c>
      <c r="AE164" s="11">
        <v>5.2359274202356989</v>
      </c>
      <c r="AF164" s="11">
        <v>6.2376962753852743</v>
      </c>
      <c r="AG164" s="11">
        <v>5.4328781420722541</v>
      </c>
      <c r="AH164" s="11">
        <v>5.6228542326965387</v>
      </c>
      <c r="AI164" s="11">
        <v>5.842150845862327</v>
      </c>
      <c r="AJ164" s="11">
        <v>6.8276369829484924</v>
      </c>
      <c r="AK164" s="6"/>
      <c r="AL164" t="s">
        <v>1077</v>
      </c>
      <c r="AM164">
        <v>45</v>
      </c>
      <c r="AN164" s="6"/>
      <c r="AO164" s="20">
        <v>2.6568000000000001</v>
      </c>
      <c r="AP164" s="20">
        <v>1.6818</v>
      </c>
      <c r="AQ164" s="20">
        <v>2.0792999999999999</v>
      </c>
      <c r="AR164" s="20">
        <v>2.1187</v>
      </c>
      <c r="AS164" s="20">
        <v>2.2765</v>
      </c>
      <c r="AT164" s="20">
        <v>2.1532</v>
      </c>
      <c r="AU164" s="20">
        <v>1.2693000000000001</v>
      </c>
      <c r="AV164" s="20">
        <v>1.0344</v>
      </c>
      <c r="AW164" s="6"/>
      <c r="AX164" s="18">
        <v>4.7430000000000004E-16</v>
      </c>
      <c r="AY164" s="18">
        <v>5.37E-7</v>
      </c>
      <c r="AZ164" s="18">
        <v>2.2799999999999999E-10</v>
      </c>
      <c r="BA164" s="18">
        <v>1.8159999999999999E-11</v>
      </c>
      <c r="BB164" s="18">
        <v>8.54E-13</v>
      </c>
      <c r="BC164" s="18">
        <v>2.807E-11</v>
      </c>
      <c r="BD164" s="18">
        <v>7.114E-5</v>
      </c>
      <c r="BE164" s="18">
        <v>8.9519999999999997E-4</v>
      </c>
      <c r="BF164" s="13"/>
      <c r="BG164" t="s">
        <v>1131</v>
      </c>
      <c r="BH164" t="s">
        <v>1307</v>
      </c>
      <c r="BI164" t="s">
        <v>1254</v>
      </c>
      <c r="BJ164" t="s">
        <v>1316</v>
      </c>
      <c r="BK164" t="s">
        <v>1151</v>
      </c>
      <c r="BL164" t="s">
        <v>1116</v>
      </c>
      <c r="BM164" t="s">
        <v>1194</v>
      </c>
      <c r="BN164" s="13"/>
      <c r="BO164" t="s">
        <v>973</v>
      </c>
      <c r="BP164" t="s">
        <v>973</v>
      </c>
      <c r="BQ164" t="s">
        <v>973</v>
      </c>
      <c r="BR164" t="s">
        <v>973</v>
      </c>
    </row>
    <row r="165" spans="1:70" x14ac:dyDescent="0.25">
      <c r="A165" t="s">
        <v>488</v>
      </c>
      <c r="B165" t="s">
        <v>489</v>
      </c>
      <c r="C165" t="s">
        <v>18</v>
      </c>
      <c r="D165" s="6"/>
      <c r="E165" s="9" t="str">
        <f>HYPERLINK("http://plants.ensembl.org/Triticum_aestivum/Gene/Summary?g=TRIAE_CS42_4AL_TGACv1_288332_AA0945140","TRIAE_CS42_4AL_TGACv1_288332_AA0945140")</f>
        <v>TRIAE_CS42_4AL_TGACv1_288332_AA0945140</v>
      </c>
      <c r="F165" s="9" t="str">
        <f>HYPERLINK("http://mar2016-plants.ensembl.org/Triticum_aestivum/Gene/Summary?db=core;g=Traes_4AL_CD68C12EF","Traes_4AL_CD68C12EF")</f>
        <v>Traes_4AL_CD68C12EF</v>
      </c>
      <c r="H165" s="8" t="str">
        <f>HYPERLINK("http://plants.ensembl.org/Brachypodium_distachyon/Gene/Summary?g=Bradi4g22050","Bradi4g22050")</f>
        <v>Bradi4g22050</v>
      </c>
      <c r="I165" s="1" t="s">
        <v>1051</v>
      </c>
      <c r="J165" s="9" t="str">
        <f>HYPERLINK("http://plants.ensembl.org/Oryza_sativa/Gene/Summary?db=otherfeatures;g=LOC_Os11g11430","LOC_Os11g11430")</f>
        <v>LOC_Os11g11430</v>
      </c>
      <c r="L165" s="6"/>
      <c r="M165" s="1" t="s">
        <v>973</v>
      </c>
      <c r="N165" s="1" t="s">
        <v>973</v>
      </c>
      <c r="O165" s="1" t="s">
        <v>973</v>
      </c>
      <c r="P165" s="1">
        <v>1</v>
      </c>
      <c r="Q165" s="1" t="s">
        <v>973</v>
      </c>
      <c r="R165" s="1" t="s">
        <v>973</v>
      </c>
      <c r="S165" s="1"/>
      <c r="T165" s="6"/>
      <c r="U165" s="11">
        <v>5.4116815873825459</v>
      </c>
      <c r="V165" s="11">
        <v>5.0021504166486812</v>
      </c>
      <c r="W165" s="11">
        <v>4.5305847689398959</v>
      </c>
      <c r="X165" s="11">
        <v>6.5600275747835974</v>
      </c>
      <c r="Y165" s="11">
        <v>5.5648222096434452</v>
      </c>
      <c r="Z165" s="11">
        <v>7.3088711059543199</v>
      </c>
      <c r="AA165" s="11">
        <v>5.6003688798748712</v>
      </c>
      <c r="AB165" s="11">
        <v>6.7183524922377034</v>
      </c>
      <c r="AC165" s="11">
        <v>4.1162732544505634</v>
      </c>
      <c r="AD165" s="11">
        <v>7.6044039791747009</v>
      </c>
      <c r="AE165" s="11">
        <v>5.1797750955634827</v>
      </c>
      <c r="AF165" s="11">
        <v>7.3173122095504262</v>
      </c>
      <c r="AG165" s="11">
        <v>3.7888701243865834</v>
      </c>
      <c r="AH165" s="11">
        <v>7.3772611503791152</v>
      </c>
      <c r="AI165" s="11">
        <v>3.1443509789437387</v>
      </c>
      <c r="AJ165" s="11">
        <v>7.7910923261239011</v>
      </c>
      <c r="AK165" s="6"/>
      <c r="AL165" t="s">
        <v>1081</v>
      </c>
      <c r="AM165">
        <v>0</v>
      </c>
      <c r="AN165" s="6"/>
      <c r="AO165" s="20">
        <v>1.2757000000000001</v>
      </c>
      <c r="AP165" s="20">
        <v>-2.5695000000000001</v>
      </c>
      <c r="AQ165" s="20">
        <v>-0.65329999999999999</v>
      </c>
      <c r="AR165" s="20">
        <v>-0.75039999999999996</v>
      </c>
      <c r="AS165" s="20">
        <v>1.8241000000000001</v>
      </c>
      <c r="AT165" s="20">
        <v>-6.7400000000000002E-2</v>
      </c>
      <c r="AU165" s="20">
        <v>2.5489999999999999</v>
      </c>
      <c r="AV165" s="20">
        <v>-1.0586</v>
      </c>
      <c r="AW165" s="6"/>
      <c r="AX165" s="18">
        <v>6.4869999999999997E-2</v>
      </c>
      <c r="AY165" s="18">
        <v>2.9559999999999998E-4</v>
      </c>
      <c r="AZ165" s="18">
        <v>0.32550000000000001</v>
      </c>
      <c r="BA165" s="18">
        <v>0.2445</v>
      </c>
      <c r="BB165" s="18">
        <v>6.2480000000000001E-3</v>
      </c>
      <c r="BC165" s="18">
        <v>0.91639999999999999</v>
      </c>
      <c r="BD165" s="18">
        <v>2.1589999999999999E-4</v>
      </c>
      <c r="BE165" s="18">
        <v>0.1</v>
      </c>
      <c r="BF165" s="13"/>
      <c r="BG165" t="s">
        <v>1128</v>
      </c>
      <c r="BH165" t="s">
        <v>1141</v>
      </c>
      <c r="BI165" t="s">
        <v>1113</v>
      </c>
      <c r="BJ165" t="s">
        <v>1142</v>
      </c>
      <c r="BK165" t="s">
        <v>1139</v>
      </c>
      <c r="BL165" t="s">
        <v>1116</v>
      </c>
      <c r="BM165" t="s">
        <v>1117</v>
      </c>
      <c r="BN165" s="13"/>
      <c r="BO165" t="s">
        <v>973</v>
      </c>
      <c r="BP165" t="s">
        <v>973</v>
      </c>
      <c r="BQ165" t="s">
        <v>973</v>
      </c>
      <c r="BR165" t="s">
        <v>973</v>
      </c>
    </row>
    <row r="166" spans="1:70" x14ac:dyDescent="0.25">
      <c r="A166" t="s">
        <v>539</v>
      </c>
      <c r="B166" t="s">
        <v>540</v>
      </c>
      <c r="C166" t="s">
        <v>18</v>
      </c>
      <c r="D166" s="6"/>
      <c r="E166" s="9" t="str">
        <f>HYPERLINK("http://plants.ensembl.org/Triticum_aestivum/Gene/Summary?g=TRIAE_CS42_4BS_TGACv1_330129_AA1106170","TRIAE_CS42_4BS_TGACv1_330129_AA1106170")</f>
        <v>TRIAE_CS42_4BS_TGACv1_330129_AA1106170</v>
      </c>
      <c r="F166" s="9" t="str">
        <f>HYPERLINK("http://mar2016-plants.ensembl.org/Triticum_aestivum/Gene/Summary?db=core;g=Traes_4BS_92DD5D26B","Traes_4BS_92DD5D26B")</f>
        <v>Traes_4BS_92DD5D26B</v>
      </c>
      <c r="H166" s="8" t="str">
        <f>HYPERLINK("http://plants.ensembl.org/Brachypodium_distachyon/Gene/Summary?g=Bradi4g22050","Bradi4g22050")</f>
        <v>Bradi4g22050</v>
      </c>
      <c r="I166" s="1" t="s">
        <v>1051</v>
      </c>
      <c r="J166" s="9" t="str">
        <f>HYPERLINK("http://plants.ensembl.org/Oryza_sativa/Gene/Summary?db=otherfeatures;g=LOC_Os11g11430","LOC_Os11g11430")</f>
        <v>LOC_Os11g11430</v>
      </c>
      <c r="L166" s="6"/>
      <c r="M166" s="1" t="s">
        <v>973</v>
      </c>
      <c r="N166" s="1" t="s">
        <v>973</v>
      </c>
      <c r="O166" s="1" t="s">
        <v>973</v>
      </c>
      <c r="P166" s="1">
        <v>1</v>
      </c>
      <c r="Q166" s="1" t="s">
        <v>973</v>
      </c>
      <c r="R166" s="1" t="s">
        <v>973</v>
      </c>
      <c r="S166" s="1"/>
      <c r="T166" s="6"/>
      <c r="U166" s="11">
        <v>5.560401113792409</v>
      </c>
      <c r="V166" s="11">
        <v>5.662207398934938</v>
      </c>
      <c r="W166" s="11">
        <v>4.2777318816800163</v>
      </c>
      <c r="X166" s="11">
        <v>6.3810445188605511</v>
      </c>
      <c r="Y166" s="11">
        <v>5.4451108843502443</v>
      </c>
      <c r="Z166" s="11">
        <v>7.0253699320371945</v>
      </c>
      <c r="AA166" s="11">
        <v>5.5585921427060345</v>
      </c>
      <c r="AB166" s="11">
        <v>6.3942197240208865</v>
      </c>
      <c r="AC166" s="11">
        <v>4.6780343344400777</v>
      </c>
      <c r="AD166" s="11">
        <v>7.2751430389440532</v>
      </c>
      <c r="AE166" s="11">
        <v>5.2200306523314666</v>
      </c>
      <c r="AF166" s="11">
        <v>6.8575564154961626</v>
      </c>
      <c r="AG166" s="11">
        <v>3.3465456449610653</v>
      </c>
      <c r="AH166" s="11">
        <v>7.1057370856188902</v>
      </c>
      <c r="AI166" s="11">
        <v>3.8235659552135211</v>
      </c>
      <c r="AJ166" s="11">
        <v>6.9443438865059628</v>
      </c>
      <c r="AK166" s="6"/>
      <c r="AL166" t="s">
        <v>1081</v>
      </c>
      <c r="AM166">
        <v>0</v>
      </c>
      <c r="AN166" s="6"/>
      <c r="AO166" s="20">
        <v>0.92820000000000003</v>
      </c>
      <c r="AP166" s="20">
        <v>-1.6895</v>
      </c>
      <c r="AQ166" s="20">
        <v>-0.9526</v>
      </c>
      <c r="AR166" s="20">
        <v>-0.47460000000000002</v>
      </c>
      <c r="AS166" s="20">
        <v>2.1682999999999999</v>
      </c>
      <c r="AT166" s="20">
        <v>-8.0699999999999994E-2</v>
      </c>
      <c r="AU166" s="20">
        <v>1.7879</v>
      </c>
      <c r="AV166" s="20">
        <v>-0.5454</v>
      </c>
      <c r="AW166" s="6"/>
      <c r="AX166" s="18">
        <v>0.15620000000000001</v>
      </c>
      <c r="AY166" s="18">
        <v>1.1639999999999999E-2</v>
      </c>
      <c r="AZ166" s="18">
        <v>0.1381</v>
      </c>
      <c r="BA166" s="18">
        <v>0.44440000000000002</v>
      </c>
      <c r="BB166" s="18">
        <v>8.6240000000000004E-4</v>
      </c>
      <c r="BC166" s="18">
        <v>0.89600000000000002</v>
      </c>
      <c r="BD166" s="18">
        <v>5.7499999999999999E-3</v>
      </c>
      <c r="BE166" s="18">
        <v>0.37919999999999998</v>
      </c>
      <c r="BF166" s="13"/>
      <c r="BG166" t="s">
        <v>1111</v>
      </c>
      <c r="BH166" t="s">
        <v>1112</v>
      </c>
      <c r="BI166" t="s">
        <v>1113</v>
      </c>
      <c r="BJ166" t="s">
        <v>1114</v>
      </c>
      <c r="BK166" t="s">
        <v>1139</v>
      </c>
      <c r="BL166" t="s">
        <v>1116</v>
      </c>
      <c r="BM166" t="s">
        <v>1117</v>
      </c>
      <c r="BN166" s="13"/>
      <c r="BO166" t="s">
        <v>973</v>
      </c>
      <c r="BP166" t="s">
        <v>973</v>
      </c>
      <c r="BQ166" t="s">
        <v>973</v>
      </c>
      <c r="BR166" t="s">
        <v>973</v>
      </c>
    </row>
    <row r="167" spans="1:70" x14ac:dyDescent="0.25">
      <c r="A167" t="s">
        <v>573</v>
      </c>
      <c r="B167" t="s">
        <v>574</v>
      </c>
      <c r="C167" t="s">
        <v>18</v>
      </c>
      <c r="D167" s="6"/>
      <c r="E167" s="9" t="str">
        <f>HYPERLINK("http://plants.ensembl.org/Triticum_aestivum/Gene/Summary?g=TRIAE_CS42_4DS_TGACv1_361044_AA1159610","TRIAE_CS42_4DS_TGACv1_361044_AA1159610")</f>
        <v>TRIAE_CS42_4DS_TGACv1_361044_AA1159610</v>
      </c>
      <c r="F167" s="9" t="str">
        <f>HYPERLINK("http://mar2016-plants.ensembl.org/Triticum_aestivum/Gene/Summary?db=core;g=Traes_4DS_03ABB2A80","Traes_4DS_03ABB2A80")</f>
        <v>Traes_4DS_03ABB2A80</v>
      </c>
      <c r="H167" s="8" t="str">
        <f>HYPERLINK("http://plants.ensembl.org/Brachypodium_distachyon/Gene/Summary?g=Bradi4g22050","Bradi4g22050")</f>
        <v>Bradi4g22050</v>
      </c>
      <c r="I167" s="1" t="s">
        <v>1051</v>
      </c>
      <c r="J167" s="9" t="str">
        <f>HYPERLINK("http://plants.ensembl.org/Oryza_sativa/Gene/Summary?db=otherfeatures;g=LOC_Os11g11430","LOC_Os11g11430")</f>
        <v>LOC_Os11g11430</v>
      </c>
      <c r="L167" s="6"/>
      <c r="M167" s="1" t="s">
        <v>973</v>
      </c>
      <c r="N167" s="1" t="s">
        <v>973</v>
      </c>
      <c r="O167" s="1" t="s">
        <v>973</v>
      </c>
      <c r="P167" s="1">
        <v>1</v>
      </c>
      <c r="Q167" s="1" t="s">
        <v>973</v>
      </c>
      <c r="R167" s="1" t="s">
        <v>973</v>
      </c>
      <c r="S167" s="1"/>
      <c r="T167" s="6"/>
      <c r="U167" s="11">
        <v>6.1784158743830409</v>
      </c>
      <c r="V167" s="11">
        <v>6.0596487422895287</v>
      </c>
      <c r="W167" s="11">
        <v>4.711595855061284</v>
      </c>
      <c r="X167" s="11">
        <v>6.9360976614214991</v>
      </c>
      <c r="Y167" s="11">
        <v>6.0186134046877937</v>
      </c>
      <c r="Z167" s="11">
        <v>7.8492822776702802</v>
      </c>
      <c r="AA167" s="11">
        <v>6.1912685073728291</v>
      </c>
      <c r="AB167" s="11">
        <v>7.1773604004001612</v>
      </c>
      <c r="AC167" s="11">
        <v>4.903844899419326</v>
      </c>
      <c r="AD167" s="11">
        <v>7.9978283125095988</v>
      </c>
      <c r="AE167" s="11">
        <v>5.4604062014868884</v>
      </c>
      <c r="AF167" s="11">
        <v>7.5367971160947924</v>
      </c>
      <c r="AG167" s="11">
        <v>3.6470419875393176</v>
      </c>
      <c r="AH167" s="11">
        <v>7.9753531356995522</v>
      </c>
      <c r="AI167" s="11">
        <v>3.4498738696696178</v>
      </c>
      <c r="AJ167" s="11">
        <v>7.9063713323311759</v>
      </c>
      <c r="AK167" s="6"/>
      <c r="AL167" t="s">
        <v>1081</v>
      </c>
      <c r="AM167">
        <v>0</v>
      </c>
      <c r="AN167" s="6"/>
      <c r="AO167" s="20">
        <v>1.2464</v>
      </c>
      <c r="AP167" s="20">
        <v>-2.0055000000000001</v>
      </c>
      <c r="AQ167" s="20">
        <v>-0.74560000000000004</v>
      </c>
      <c r="AR167" s="20">
        <v>-0.59119999999999995</v>
      </c>
      <c r="AS167" s="20">
        <v>2.4136000000000002</v>
      </c>
      <c r="AT167" s="20">
        <v>-0.1236</v>
      </c>
      <c r="AU167" s="20">
        <v>2.7847</v>
      </c>
      <c r="AV167" s="20">
        <v>-0.71509999999999996</v>
      </c>
      <c r="AW167" s="6"/>
      <c r="AX167" s="18">
        <v>8.8260000000000005E-2</v>
      </c>
      <c r="AY167" s="18">
        <v>6.8529999999999997E-3</v>
      </c>
      <c r="AZ167" s="18">
        <v>0.30259999999999998</v>
      </c>
      <c r="BA167" s="18">
        <v>0.4037</v>
      </c>
      <c r="BB167" s="18">
        <v>9.2619999999999996E-4</v>
      </c>
      <c r="BC167" s="18">
        <v>0.86099999999999999</v>
      </c>
      <c r="BD167" s="18">
        <v>1.629E-4</v>
      </c>
      <c r="BE167" s="18">
        <v>0.31190000000000001</v>
      </c>
      <c r="BF167" s="13"/>
      <c r="BG167" t="s">
        <v>1128</v>
      </c>
      <c r="BH167" t="s">
        <v>1112</v>
      </c>
      <c r="BI167" t="s">
        <v>1113</v>
      </c>
      <c r="BJ167" t="s">
        <v>1316</v>
      </c>
      <c r="BK167" t="s">
        <v>1139</v>
      </c>
      <c r="BL167" t="s">
        <v>1116</v>
      </c>
      <c r="BM167" t="s">
        <v>1117</v>
      </c>
      <c r="BN167" s="13"/>
      <c r="BO167" t="s">
        <v>973</v>
      </c>
      <c r="BP167" t="s">
        <v>973</v>
      </c>
      <c r="BQ167" t="s">
        <v>973</v>
      </c>
      <c r="BR167" t="s">
        <v>973</v>
      </c>
    </row>
    <row r="168" spans="1:70" x14ac:dyDescent="0.25">
      <c r="A168" t="s">
        <v>600</v>
      </c>
      <c r="B168" t="s">
        <v>601</v>
      </c>
      <c r="C168" t="s">
        <v>18</v>
      </c>
      <c r="D168" s="6"/>
      <c r="E168" s="9" t="str">
        <f>HYPERLINK("http://plants.ensembl.org/Triticum_aestivum/Gene/Summary?g=TRIAE_CS42_5AS_TGACv1_393963_AA1277380","TRIAE_CS42_5AS_TGACv1_393963_AA1277380")</f>
        <v>TRIAE_CS42_5AS_TGACv1_393963_AA1277380</v>
      </c>
      <c r="F168" s="9" t="str">
        <f>HYPERLINK("http://mar2016-plants.ensembl.org/Triticum_aestivum/Gene/Summary?db=core;g=Traes_5AS_7C1851556","Traes_5AS_7C1851556")</f>
        <v>Traes_5AS_7C1851556</v>
      </c>
      <c r="G168" t="s">
        <v>1013</v>
      </c>
      <c r="H168" s="8" t="str">
        <f>HYPERLINK("http://plants.ensembl.org/Brachypodium_distachyon/Gene/Summary?g=Bradi4g02600","Bradi4g02600")</f>
        <v>Bradi4g02600</v>
      </c>
      <c r="I168" s="8" t="str">
        <f>HYPERLINK("http://plants.ensembl.org/Arabidopsis_thaliana/Gene/Summary?g=AT3G04730","AT3G04730")</f>
        <v>AT3G04730</v>
      </c>
      <c r="J168" s="9" t="str">
        <f>HYPERLINK("http://plants.ensembl.org/Oryza_sativa/Gene/Summary?db=otherfeatures;g=LOC_Os12g40890","LOC_Os12g40890")</f>
        <v>LOC_Os12g40890</v>
      </c>
      <c r="K168" s="9" t="str">
        <f>HYPERLINK("http://plants.ensembl.org/Zea_mays/Gene/Summary?db=otherfeatures;g=GRMZM2G138268","GRMZM2G138268")</f>
        <v>GRMZM2G138268</v>
      </c>
      <c r="L168" s="6"/>
      <c r="M168" t="s">
        <v>973</v>
      </c>
      <c r="N168" t="s">
        <v>973</v>
      </c>
      <c r="O168" t="s">
        <v>973</v>
      </c>
      <c r="P168">
        <v>1</v>
      </c>
      <c r="S168" t="s">
        <v>973</v>
      </c>
      <c r="T168" s="6"/>
      <c r="U168" s="11">
        <v>7.2114402515463025</v>
      </c>
      <c r="V168" s="11">
        <v>3.1168304963267115</v>
      </c>
      <c r="W168" s="11">
        <v>7.8474921254605059</v>
      </c>
      <c r="X168" s="11">
        <v>6.7025471947920892</v>
      </c>
      <c r="Y168" s="11">
        <v>7.8822601138017134</v>
      </c>
      <c r="Z168" s="11">
        <v>6.5830647101899382</v>
      </c>
      <c r="AA168" s="11">
        <v>8.1569766550761749</v>
      </c>
      <c r="AB168" s="11">
        <v>6.6150640951152573</v>
      </c>
      <c r="AC168" s="11">
        <v>8.1343520443293773</v>
      </c>
      <c r="AD168" s="11">
        <v>6.5701598077382686</v>
      </c>
      <c r="AE168" s="11">
        <v>8.2754005492633684</v>
      </c>
      <c r="AF168" s="11">
        <v>6.9757986834416359</v>
      </c>
      <c r="AG168" s="11">
        <v>8.345194390097479</v>
      </c>
      <c r="AH168" s="11">
        <v>6.4890799239075294</v>
      </c>
      <c r="AI168" s="11">
        <v>8.2091347352906912</v>
      </c>
      <c r="AJ168" s="11">
        <v>7.1964447553794386</v>
      </c>
      <c r="AK168" s="6"/>
      <c r="AL168" t="s">
        <v>1105</v>
      </c>
      <c r="AM168">
        <v>0</v>
      </c>
      <c r="AN168" s="6"/>
      <c r="AO168" s="20">
        <v>-0.96809999999999996</v>
      </c>
      <c r="AP168" s="20">
        <v>-3.4653999999999998</v>
      </c>
      <c r="AQ168" s="20">
        <v>-0.4264</v>
      </c>
      <c r="AR168" s="20">
        <v>-0.27089999999999997</v>
      </c>
      <c r="AS168" s="20">
        <v>-0.46289999999999998</v>
      </c>
      <c r="AT168" s="20">
        <v>8.7400000000000005E-2</v>
      </c>
      <c r="AU168" s="20">
        <v>-5.1400000000000001E-2</v>
      </c>
      <c r="AV168" s="20">
        <v>-0.58509999999999995</v>
      </c>
      <c r="AW168" s="6"/>
      <c r="AX168" s="18">
        <v>6.8629999999999999E-5</v>
      </c>
      <c r="AY168" s="18">
        <v>7.6549999999999997E-9</v>
      </c>
      <c r="AZ168" s="18">
        <v>5.7979999999999997E-2</v>
      </c>
      <c r="BA168" s="18">
        <v>0.25719999999999998</v>
      </c>
      <c r="BB168" s="18">
        <v>3.916E-2</v>
      </c>
      <c r="BC168" s="18">
        <v>0.71930000000000005</v>
      </c>
      <c r="BD168" s="18">
        <v>0.81799999999999995</v>
      </c>
      <c r="BE168" s="18">
        <v>1.4149999999999999E-2</v>
      </c>
      <c r="BF168" s="13"/>
      <c r="BG168" t="s">
        <v>1111</v>
      </c>
      <c r="BH168" t="s">
        <v>1385</v>
      </c>
      <c r="BI168" t="s">
        <v>1113</v>
      </c>
      <c r="BJ168" t="s">
        <v>1239</v>
      </c>
      <c r="BK168" t="s">
        <v>1271</v>
      </c>
      <c r="BL168" t="s">
        <v>1116</v>
      </c>
      <c r="BM168" t="s">
        <v>1117</v>
      </c>
      <c r="BN168" s="13"/>
      <c r="BO168" t="s">
        <v>973</v>
      </c>
      <c r="BP168" t="s">
        <v>973</v>
      </c>
      <c r="BQ168" t="s">
        <v>973</v>
      </c>
      <c r="BR168" t="s">
        <v>973</v>
      </c>
    </row>
    <row r="169" spans="1:70" x14ac:dyDescent="0.25">
      <c r="A169" t="s">
        <v>653</v>
      </c>
      <c r="B169" t="s">
        <v>654</v>
      </c>
      <c r="C169" t="s">
        <v>18</v>
      </c>
      <c r="D169" s="6"/>
      <c r="E169" s="9" t="str">
        <f>HYPERLINK("http://plants.ensembl.org/Triticum_aestivum/Gene/Summary?g=TRIAE_CS42_5AL_TGACv1_375443_AA1221730","TRIAE_CS42_5AL_TGACv1_375443_AA1221730")</f>
        <v>TRIAE_CS42_5AL_TGACv1_375443_AA1221730</v>
      </c>
      <c r="F169" s="9" t="str">
        <f>HYPERLINK("http://mar2016-plants.ensembl.org/Triticum_aestivum/Gene/Summary?db=core;g=Traes_5AL_F92C0EC4E","Traes_5AL_F92C0EC4E")</f>
        <v>Traes_5AL_F92C0EC4E</v>
      </c>
      <c r="H169" s="8" t="str">
        <f>HYPERLINK("http://plants.ensembl.org/Brachypodium_distachyon/Gene/Summary?g=Bradi1g07060","Bradi1g07060")</f>
        <v>Bradi1g07060</v>
      </c>
      <c r="I169" s="8" t="str">
        <f>HYPERLINK("http://plants.ensembl.org/Arabidopsis_thaliana/Gene/Summary?g=AT5G42710","AT5G42710")</f>
        <v>AT5G42710</v>
      </c>
      <c r="J169" s="9" t="str">
        <f>HYPERLINK("http://plants.ensembl.org/Oryza_sativa/Gene/Summary?db=otherfeatures;g=LOC_Os03g56430","LOC_Os03g56430")</f>
        <v>LOC_Os03g56430</v>
      </c>
      <c r="L169" s="6"/>
      <c r="M169" s="1" t="s">
        <v>973</v>
      </c>
      <c r="N169" s="1" t="s">
        <v>973</v>
      </c>
      <c r="O169" s="1" t="s">
        <v>973</v>
      </c>
      <c r="P169" s="1">
        <v>1</v>
      </c>
      <c r="Q169" s="1" t="s">
        <v>973</v>
      </c>
      <c r="R169" s="1" t="s">
        <v>973</v>
      </c>
      <c r="S169" s="1"/>
      <c r="T169" s="6"/>
      <c r="U169" s="11">
        <v>6.0714187413779648</v>
      </c>
      <c r="V169" s="11">
        <v>7.3552386132204415</v>
      </c>
      <c r="W169" s="11">
        <v>6.7775240452042684</v>
      </c>
      <c r="X169" s="11">
        <v>6.5637469276274789</v>
      </c>
      <c r="Y169" s="11">
        <v>6.1673110897059926</v>
      </c>
      <c r="Z169" s="11">
        <v>6.6483269000692484</v>
      </c>
      <c r="AA169" s="11">
        <v>7.7359573842218845</v>
      </c>
      <c r="AB169" s="11">
        <v>7.6870520541725389</v>
      </c>
      <c r="AC169" s="11">
        <v>7.811140032428499</v>
      </c>
      <c r="AD169" s="11">
        <v>7.0898787459113422</v>
      </c>
      <c r="AE169" s="11">
        <v>8.1318811339060666</v>
      </c>
      <c r="AF169" s="11">
        <v>8.145102198325846</v>
      </c>
      <c r="AG169" s="11">
        <v>7.4691218921212235</v>
      </c>
      <c r="AH169" s="11">
        <v>8.0243544044140318</v>
      </c>
      <c r="AI169" s="11">
        <v>8.6760703747012773</v>
      </c>
      <c r="AJ169" s="11">
        <v>8.3650962770961605</v>
      </c>
      <c r="AK169" s="6"/>
      <c r="AL169" t="s">
        <v>1088</v>
      </c>
      <c r="AM169">
        <v>0</v>
      </c>
      <c r="AN169" s="6"/>
      <c r="AO169" s="20">
        <v>-2.0266000000000002</v>
      </c>
      <c r="AP169" s="20">
        <v>0.26200000000000001</v>
      </c>
      <c r="AQ169" s="20">
        <v>-1.36</v>
      </c>
      <c r="AR169" s="20">
        <v>-1.5857000000000001</v>
      </c>
      <c r="AS169" s="20">
        <v>-1.3013999999999999</v>
      </c>
      <c r="AT169" s="20">
        <v>-1.3903000000000001</v>
      </c>
      <c r="AU169" s="20">
        <v>-0.94389999999999996</v>
      </c>
      <c r="AV169" s="20">
        <v>-0.67879999999999996</v>
      </c>
      <c r="AW169" s="6"/>
      <c r="AX169" s="18">
        <v>3.1759999999999998E-13</v>
      </c>
      <c r="AY169" s="18">
        <v>0.35120000000000001</v>
      </c>
      <c r="AZ169" s="18">
        <v>1.1080000000000001E-8</v>
      </c>
      <c r="BA169" s="18">
        <v>5.505E-11</v>
      </c>
      <c r="BB169" s="18">
        <v>1.3019999999999999E-7</v>
      </c>
      <c r="BC169" s="18">
        <v>7.2660000000000003E-9</v>
      </c>
      <c r="BD169" s="18">
        <v>4.4289999999999998E-5</v>
      </c>
      <c r="BE169" s="18">
        <v>3.7339999999999999E-3</v>
      </c>
      <c r="BF169" s="13"/>
      <c r="BG169" t="s">
        <v>1404</v>
      </c>
      <c r="BH169" t="s">
        <v>1216</v>
      </c>
      <c r="BI169" t="s">
        <v>1242</v>
      </c>
      <c r="BJ169" t="s">
        <v>1127</v>
      </c>
      <c r="BK169" t="s">
        <v>1115</v>
      </c>
      <c r="BL169" t="s">
        <v>1183</v>
      </c>
      <c r="BM169" t="s">
        <v>1259</v>
      </c>
      <c r="BN169" s="13"/>
      <c r="BO169" t="s">
        <v>973</v>
      </c>
      <c r="BP169" t="s">
        <v>973</v>
      </c>
      <c r="BQ169" t="s">
        <v>973</v>
      </c>
      <c r="BR169" t="s">
        <v>973</v>
      </c>
    </row>
    <row r="170" spans="1:70" x14ac:dyDescent="0.25">
      <c r="A170" t="s">
        <v>667</v>
      </c>
      <c r="B170" t="s">
        <v>668</v>
      </c>
      <c r="C170" t="s">
        <v>18</v>
      </c>
      <c r="D170" s="6"/>
      <c r="E170" s="9" t="str">
        <f>HYPERLINK("http://plants.ensembl.org/Triticum_aestivum/Gene/Summary?g=TRIAE_CS42_5BS_TGACv1_423559_AA1379430","TRIAE_CS42_5BS_TGACv1_423559_AA1379430")</f>
        <v>TRIAE_CS42_5BS_TGACv1_423559_AA1379430</v>
      </c>
      <c r="F170" s="9" t="str">
        <f>HYPERLINK("http://mar2016-plants.ensembl.org/Triticum_aestivum/Gene/Summary?db=core;g=Traes_5BS_940DB64ED","Traes_5BS_940DB64ED")</f>
        <v>Traes_5BS_940DB64ED</v>
      </c>
      <c r="G170" t="s">
        <v>1013</v>
      </c>
      <c r="H170" s="8" t="str">
        <f>HYPERLINK("http://plants.ensembl.org/Brachypodium_distachyon/Gene/Summary?g=Bradi4g02600","Bradi4g02600")</f>
        <v>Bradi4g02600</v>
      </c>
      <c r="I170" s="8" t="str">
        <f>HYPERLINK("http://plants.ensembl.org/Arabidopsis_thaliana/Gene/Summary?g=AT3G04730","AT3G04730")</f>
        <v>AT3G04730</v>
      </c>
      <c r="J170" s="9" t="str">
        <f>HYPERLINK("http://plants.ensembl.org/Oryza_sativa/Gene/Summary?db=otherfeatures;g=LOC_Os12g40890","LOC_Os12g40890")</f>
        <v>LOC_Os12g40890</v>
      </c>
      <c r="K170" s="9" t="str">
        <f>HYPERLINK("http://plants.ensembl.org/Zea_mays/Gene/Summary?db=otherfeatures;g=GRMZM2G138268","GRMZM2G138268")</f>
        <v>GRMZM2G138268</v>
      </c>
      <c r="L170" s="6"/>
      <c r="M170" t="s">
        <v>973</v>
      </c>
      <c r="N170" t="s">
        <v>973</v>
      </c>
      <c r="O170" t="s">
        <v>973</v>
      </c>
      <c r="P170">
        <v>1</v>
      </c>
      <c r="S170" t="s">
        <v>973</v>
      </c>
      <c r="T170" s="6"/>
      <c r="U170" s="11">
        <v>6.6524439496060657</v>
      </c>
      <c r="V170" s="11">
        <v>3.665847521255551</v>
      </c>
      <c r="W170" s="11">
        <v>7.6042369195782342</v>
      </c>
      <c r="X170" s="11">
        <v>6.6776252204142583</v>
      </c>
      <c r="Y170" s="11">
        <v>7.8229682409500239</v>
      </c>
      <c r="Z170" s="11">
        <v>6.4081406245636128</v>
      </c>
      <c r="AA170" s="11">
        <v>8.3123600726204536</v>
      </c>
      <c r="AB170" s="11">
        <v>6.6565631074799345</v>
      </c>
      <c r="AC170" s="11">
        <v>7.7864094789621259</v>
      </c>
      <c r="AD170" s="11">
        <v>6.3974116656027125</v>
      </c>
      <c r="AE170" s="11">
        <v>8.0188362897923433</v>
      </c>
      <c r="AF170" s="11">
        <v>6.7256702740539476</v>
      </c>
      <c r="AG170" s="11">
        <v>8.0043997033699288</v>
      </c>
      <c r="AH170" s="11">
        <v>6.5929273937870398</v>
      </c>
      <c r="AI170" s="11">
        <v>7.7966786455546639</v>
      </c>
      <c r="AJ170" s="11">
        <v>6.7159519262356104</v>
      </c>
      <c r="AK170" s="6"/>
      <c r="AL170" t="s">
        <v>1105</v>
      </c>
      <c r="AM170">
        <v>0</v>
      </c>
      <c r="AN170" s="6"/>
      <c r="AO170" s="20">
        <v>-1.1517999999999999</v>
      </c>
      <c r="AP170" s="20">
        <v>-2.6417000000000002</v>
      </c>
      <c r="AQ170" s="20">
        <v>-0.41289999999999999</v>
      </c>
      <c r="AR170" s="20">
        <v>-0.06</v>
      </c>
      <c r="AS170" s="20">
        <v>-0.18099999999999999</v>
      </c>
      <c r="AT170" s="20">
        <v>-0.18029999999999999</v>
      </c>
      <c r="AU170" s="20">
        <v>0.51690000000000003</v>
      </c>
      <c r="AV170" s="20">
        <v>-6.1199999999999997E-2</v>
      </c>
      <c r="AW170" s="6"/>
      <c r="AX170" s="18">
        <v>1.322E-6</v>
      </c>
      <c r="AY170" s="18">
        <v>4.8020000000000003E-8</v>
      </c>
      <c r="AZ170" s="18">
        <v>4.999E-2</v>
      </c>
      <c r="BA170" s="18">
        <v>0.79090000000000005</v>
      </c>
      <c r="BB170" s="18">
        <v>0.3871</v>
      </c>
      <c r="BC170" s="18">
        <v>0.43070000000000003</v>
      </c>
      <c r="BD170" s="18">
        <v>1.3100000000000001E-2</v>
      </c>
      <c r="BE170" s="18">
        <v>0.78659999999999997</v>
      </c>
      <c r="BF170" s="13"/>
      <c r="BG170" t="s">
        <v>1134</v>
      </c>
      <c r="BH170" t="s">
        <v>1389</v>
      </c>
      <c r="BI170" t="s">
        <v>1113</v>
      </c>
      <c r="BJ170" t="s">
        <v>1278</v>
      </c>
      <c r="BK170" t="s">
        <v>1271</v>
      </c>
      <c r="BL170" t="s">
        <v>1116</v>
      </c>
      <c r="BM170" t="s">
        <v>1117</v>
      </c>
      <c r="BN170" s="13"/>
      <c r="BO170" t="s">
        <v>973</v>
      </c>
      <c r="BP170" t="s">
        <v>973</v>
      </c>
      <c r="BQ170" t="s">
        <v>973</v>
      </c>
      <c r="BR170" t="s">
        <v>973</v>
      </c>
    </row>
    <row r="171" spans="1:70" x14ac:dyDescent="0.25">
      <c r="A171" t="s">
        <v>700</v>
      </c>
      <c r="B171" t="s">
        <v>701</v>
      </c>
      <c r="C171" t="s">
        <v>18</v>
      </c>
      <c r="D171" s="6"/>
      <c r="E171" s="9" t="str">
        <f>HYPERLINK("http://plants.ensembl.org/Triticum_aestivum/Gene/Summary?g=TRIAE_CS42_5BL_TGACv1_405745_AA1334340","TRIAE_CS42_5BL_TGACv1_405745_AA1334340")</f>
        <v>TRIAE_CS42_5BL_TGACv1_405745_AA1334340</v>
      </c>
      <c r="F171" s="9" t="str">
        <f>HYPERLINK("http://mar2016-plants.ensembl.org/Triticum_aestivum/Gene/Summary?db=core;g=Traes_5BL_C86AC392A","Traes_5BL_C86AC392A")</f>
        <v>Traes_5BL_C86AC392A</v>
      </c>
      <c r="G171" t="s">
        <v>1016</v>
      </c>
      <c r="H171" s="8" t="str">
        <f>HYPERLINK("http://plants.ensembl.org/Brachypodium_distachyon/Gene/Summary?g=Bradi1g09090","Bradi1g09090")</f>
        <v>Bradi1g09090</v>
      </c>
      <c r="I171" s="1" t="s">
        <v>1051</v>
      </c>
      <c r="J171" s="9" t="str">
        <f>HYPERLINK("http://plants.ensembl.org/Oryza_sativa/Gene/Summary?db=otherfeatures;g=LOC_Os03g53150","LOC_Os03g53150")</f>
        <v>LOC_Os03g53150</v>
      </c>
      <c r="K171" s="9" t="str">
        <f>HYPERLINK("http://plants.ensembl.org/Zea_mays/Gene/Summary?db=otherfeatures;g=GRMZM2G159285","GRMZM2G159285")</f>
        <v>GRMZM2G159285</v>
      </c>
      <c r="L171" s="6"/>
      <c r="M171" t="s">
        <v>973</v>
      </c>
      <c r="N171" t="s">
        <v>973</v>
      </c>
      <c r="O171" t="s">
        <v>973</v>
      </c>
      <c r="P171">
        <v>1</v>
      </c>
      <c r="S171" t="s">
        <v>973</v>
      </c>
      <c r="T171" s="6"/>
      <c r="U171" s="11">
        <v>3.7998575051270809</v>
      </c>
      <c r="V171" s="11">
        <v>2.9033661180954362</v>
      </c>
      <c r="W171" s="11">
        <v>5.638411778363392</v>
      </c>
      <c r="X171" s="11">
        <v>4.6367019488586685</v>
      </c>
      <c r="Y171" s="11">
        <v>5.836443438531898</v>
      </c>
      <c r="Z171" s="11">
        <v>4.3877829898727958</v>
      </c>
      <c r="AA171" s="11">
        <v>6.6459533052284305</v>
      </c>
      <c r="AB171" s="11">
        <v>4.439219747069119</v>
      </c>
      <c r="AC171" s="11">
        <v>5.4059311118881723</v>
      </c>
      <c r="AD171" s="11">
        <v>5.6717302292821294</v>
      </c>
      <c r="AE171" s="11">
        <v>6.525757258592737</v>
      </c>
      <c r="AF171" s="11">
        <v>5.7383084787394081</v>
      </c>
      <c r="AG171" s="11">
        <v>6.2007207801794024</v>
      </c>
      <c r="AH171" s="11">
        <v>5.2697002137271349</v>
      </c>
      <c r="AI171" s="11">
        <v>6.1777683340013052</v>
      </c>
      <c r="AJ171" s="11">
        <v>5.4750243369224112</v>
      </c>
      <c r="AK171" s="6"/>
      <c r="AL171" t="s">
        <v>1075</v>
      </c>
      <c r="AM171">
        <v>0</v>
      </c>
      <c r="AN171" s="6"/>
      <c r="AO171" s="20">
        <v>-1.3265</v>
      </c>
      <c r="AP171" s="20">
        <v>-2.1897000000000002</v>
      </c>
      <c r="AQ171" s="20">
        <v>-0.89319999999999999</v>
      </c>
      <c r="AR171" s="20">
        <v>-1.131</v>
      </c>
      <c r="AS171" s="20">
        <v>-0.36830000000000002</v>
      </c>
      <c r="AT171" s="20">
        <v>-0.93320000000000003</v>
      </c>
      <c r="AU171" s="20">
        <v>0.4728</v>
      </c>
      <c r="AV171" s="20">
        <v>-1.071</v>
      </c>
      <c r="AW171" s="6"/>
      <c r="AX171" s="18">
        <v>3.0850000000000001E-3</v>
      </c>
      <c r="AY171" s="18">
        <v>4.4569999999999999E-4</v>
      </c>
      <c r="AZ171" s="18">
        <v>1.0919999999999999E-2</v>
      </c>
      <c r="BA171" s="18">
        <v>2.7179999999999999E-3</v>
      </c>
      <c r="BB171" s="18">
        <v>0.29339999999999999</v>
      </c>
      <c r="BC171" s="18">
        <v>1.5599999999999999E-2</v>
      </c>
      <c r="BD171" s="18">
        <v>0.1699</v>
      </c>
      <c r="BE171" s="18">
        <v>5.6350000000000003E-3</v>
      </c>
      <c r="BF171" s="13"/>
      <c r="BG171" t="s">
        <v>1111</v>
      </c>
      <c r="BH171" t="s">
        <v>1216</v>
      </c>
      <c r="BI171" t="s">
        <v>1113</v>
      </c>
      <c r="BJ171" t="s">
        <v>1217</v>
      </c>
      <c r="BK171" t="s">
        <v>1115</v>
      </c>
      <c r="BL171" t="s">
        <v>1214</v>
      </c>
      <c r="BM171" t="s">
        <v>1117</v>
      </c>
      <c r="BN171" s="13"/>
      <c r="BO171" t="s">
        <v>973</v>
      </c>
      <c r="BP171" t="s">
        <v>973</v>
      </c>
      <c r="BQ171" t="s">
        <v>973</v>
      </c>
      <c r="BR171" t="s">
        <v>973</v>
      </c>
    </row>
    <row r="172" spans="1:70" x14ac:dyDescent="0.25">
      <c r="A172" t="s">
        <v>707</v>
      </c>
      <c r="B172" t="s">
        <v>654</v>
      </c>
      <c r="C172" t="s">
        <v>18</v>
      </c>
      <c r="D172" s="6"/>
      <c r="E172" s="9" t="str">
        <f>HYPERLINK("http://plants.ensembl.org/Triticum_aestivum/Gene/Summary?g=TRIAE_CS42_5BL_TGACv1_406335_AA1344180","TRIAE_CS42_5BL_TGACv1_406335_AA1344180")</f>
        <v>TRIAE_CS42_5BL_TGACv1_406335_AA1344180</v>
      </c>
      <c r="F172" s="9" t="str">
        <f>HYPERLINK("http://mar2016-plants.ensembl.org/Triticum_aestivum/Gene/Summary?db=core;g=Traes_5BL_617E63A47","Traes_5BL_617E63A47")</f>
        <v>Traes_5BL_617E63A47</v>
      </c>
      <c r="H172" s="8" t="str">
        <f>HYPERLINK("http://plants.ensembl.org/Brachypodium_distachyon/Gene/Summary?g=Bradi1g07060","Bradi1g07060")</f>
        <v>Bradi1g07060</v>
      </c>
      <c r="I172" s="8" t="str">
        <f>HYPERLINK("http://plants.ensembl.org/Arabidopsis_thaliana/Gene/Summary?g=AT5G42710","AT5G42710")</f>
        <v>AT5G42710</v>
      </c>
      <c r="J172" s="9" t="str">
        <f>HYPERLINK("http://plants.ensembl.org/Oryza_sativa/Gene/Summary?db=otherfeatures;g=LOC_Os03g56430","LOC_Os03g56430")</f>
        <v>LOC_Os03g56430</v>
      </c>
      <c r="L172" s="6"/>
      <c r="M172" s="1" t="s">
        <v>973</v>
      </c>
      <c r="N172" s="1" t="s">
        <v>973</v>
      </c>
      <c r="O172" s="1" t="s">
        <v>973</v>
      </c>
      <c r="P172" s="1">
        <v>1</v>
      </c>
      <c r="Q172" s="1" t="s">
        <v>973</v>
      </c>
      <c r="R172" s="1" t="s">
        <v>973</v>
      </c>
      <c r="S172" s="1"/>
      <c r="T172" s="6"/>
      <c r="U172" s="11">
        <v>3.979193087830458</v>
      </c>
      <c r="V172" s="11">
        <v>5.2552627821451434</v>
      </c>
      <c r="W172" s="11">
        <v>6.8872713958151248</v>
      </c>
      <c r="X172" s="11">
        <v>6.53355088965432</v>
      </c>
      <c r="Y172" s="11">
        <v>6.3849397009186335</v>
      </c>
      <c r="Z172" s="11">
        <v>6.7520108231751976</v>
      </c>
      <c r="AA172" s="11">
        <v>6.3095582065568463</v>
      </c>
      <c r="AB172" s="11">
        <v>5.8791184084336274</v>
      </c>
      <c r="AC172" s="11">
        <v>6.4311443218439477</v>
      </c>
      <c r="AD172" s="11">
        <v>5.5446965984080299</v>
      </c>
      <c r="AE172" s="11">
        <v>8.2321397961143852</v>
      </c>
      <c r="AF172" s="11">
        <v>8.0412645237699696</v>
      </c>
      <c r="AG172" s="11">
        <v>7.6483465557624406</v>
      </c>
      <c r="AH172" s="11">
        <v>7.9562572709884813</v>
      </c>
      <c r="AI172" s="11">
        <v>7.2819729788431102</v>
      </c>
      <c r="AJ172" s="11">
        <v>6.7458746237240756</v>
      </c>
      <c r="AK172" s="6"/>
      <c r="AL172" t="s">
        <v>1088</v>
      </c>
      <c r="AM172">
        <v>0</v>
      </c>
      <c r="AN172" s="6"/>
      <c r="AO172" s="20">
        <v>-2.7511000000000001</v>
      </c>
      <c r="AP172" s="20">
        <v>9.4500000000000001E-2</v>
      </c>
      <c r="AQ172" s="20">
        <v>-1.3486</v>
      </c>
      <c r="AR172" s="20">
        <v>-1.5165999999999999</v>
      </c>
      <c r="AS172" s="20">
        <v>-1.2642</v>
      </c>
      <c r="AT172" s="20">
        <v>-1.2121</v>
      </c>
      <c r="AU172" s="20">
        <v>-0.97919999999999996</v>
      </c>
      <c r="AV172" s="20">
        <v>-0.874</v>
      </c>
      <c r="AW172" s="6"/>
      <c r="AX172" s="18">
        <v>2.7189999999999999E-11</v>
      </c>
      <c r="AY172" s="18">
        <v>0.80679999999999996</v>
      </c>
      <c r="AZ172" s="18">
        <v>6.2669999999999997E-7</v>
      </c>
      <c r="BA172" s="18">
        <v>3.6599999999999997E-8</v>
      </c>
      <c r="BB172" s="18">
        <v>4.7820000000000001E-6</v>
      </c>
      <c r="BC172" s="18">
        <v>9.0599999999999997E-6</v>
      </c>
      <c r="BD172" s="18">
        <v>3.8709999999999998E-4</v>
      </c>
      <c r="BE172" s="18">
        <v>2.444E-3</v>
      </c>
      <c r="BF172" s="13"/>
      <c r="BG172" t="s">
        <v>1408</v>
      </c>
      <c r="BH172" t="s">
        <v>1354</v>
      </c>
      <c r="BI172" t="s">
        <v>1369</v>
      </c>
      <c r="BJ172" t="s">
        <v>1114</v>
      </c>
      <c r="BK172" t="s">
        <v>1115</v>
      </c>
      <c r="BL172" t="s">
        <v>1116</v>
      </c>
      <c r="BM172" t="s">
        <v>1353</v>
      </c>
      <c r="BN172" s="13"/>
      <c r="BO172" t="s">
        <v>973</v>
      </c>
      <c r="BP172" t="s">
        <v>973</v>
      </c>
      <c r="BQ172" t="s">
        <v>973</v>
      </c>
      <c r="BR172" t="s">
        <v>973</v>
      </c>
    </row>
    <row r="173" spans="1:70" x14ac:dyDescent="0.25">
      <c r="A173" t="s">
        <v>719</v>
      </c>
      <c r="B173" t="s">
        <v>720</v>
      </c>
      <c r="C173" t="s">
        <v>18</v>
      </c>
      <c r="D173" s="6"/>
      <c r="E173" s="9" t="str">
        <f>HYPERLINK("http://plants.ensembl.org/Triticum_aestivum/Gene/Summary?g=TRIAE_CS42_5DS_TGACv1_457062_AA1481640","TRIAE_CS42_5DS_TGACv1_457062_AA1481640")</f>
        <v>TRIAE_CS42_5DS_TGACv1_457062_AA1481640</v>
      </c>
      <c r="F173" s="9" t="str">
        <f>HYPERLINK("http://mar2016-plants.ensembl.org/Triticum_aestivum/Gene/Summary?db=core;g=Traes_5DS_76A4D5D4E","Traes_5DS_76A4D5D4E")</f>
        <v>Traes_5DS_76A4D5D4E</v>
      </c>
      <c r="G173" t="s">
        <v>1013</v>
      </c>
      <c r="H173" s="8" t="str">
        <f>HYPERLINK("http://plants.ensembl.org/Brachypodium_distachyon/Gene/Summary?g=Bradi4g02600","Bradi4g02600")</f>
        <v>Bradi4g02600</v>
      </c>
      <c r="I173" s="8" t="str">
        <f>HYPERLINK("http://plants.ensembl.org/Arabidopsis_thaliana/Gene/Summary?g=AT3G04730","AT3G04730")</f>
        <v>AT3G04730</v>
      </c>
      <c r="J173" s="9" t="str">
        <f>HYPERLINK("http://plants.ensembl.org/Oryza_sativa/Gene/Summary?db=otherfeatures;g=LOC_Os12g40890","LOC_Os12g40890")</f>
        <v>LOC_Os12g40890</v>
      </c>
      <c r="K173" s="9" t="str">
        <f>HYPERLINK("http://plants.ensembl.org/Zea_mays/Gene/Summary?db=otherfeatures;g=GRMZM2G138268","GRMZM2G138268")</f>
        <v>GRMZM2G138268</v>
      </c>
      <c r="L173" s="6"/>
      <c r="M173" t="s">
        <v>973</v>
      </c>
      <c r="N173" t="s">
        <v>973</v>
      </c>
      <c r="O173" t="s">
        <v>973</v>
      </c>
      <c r="P173">
        <v>1</v>
      </c>
      <c r="S173" t="s">
        <v>973</v>
      </c>
      <c r="T173" s="6"/>
      <c r="U173" s="11">
        <v>7.5699479884766898</v>
      </c>
      <c r="V173" s="11">
        <v>4.1683665837212187</v>
      </c>
      <c r="W173" s="11">
        <v>8.4227253944600786</v>
      </c>
      <c r="X173" s="11">
        <v>7.4542474667231744</v>
      </c>
      <c r="Y173" s="11">
        <v>8.6792083076932158</v>
      </c>
      <c r="Z173" s="11">
        <v>7.5938191055218027</v>
      </c>
      <c r="AA173" s="11">
        <v>9.2688309392238146</v>
      </c>
      <c r="AB173" s="11">
        <v>7.6151634365992775</v>
      </c>
      <c r="AC173" s="11">
        <v>8.7919106382206813</v>
      </c>
      <c r="AD173" s="11">
        <v>7.8283197323878175</v>
      </c>
      <c r="AE173" s="11">
        <v>9.1153690979410111</v>
      </c>
      <c r="AF173" s="11">
        <v>8.0402842406922659</v>
      </c>
      <c r="AG173" s="11">
        <v>9.0237849345992789</v>
      </c>
      <c r="AH173" s="11">
        <v>7.8771155919454277</v>
      </c>
      <c r="AI173" s="11">
        <v>8.9310830896326081</v>
      </c>
      <c r="AJ173" s="11">
        <v>8.4137367969175347</v>
      </c>
      <c r="AK173" s="6"/>
      <c r="AL173" t="s">
        <v>1075</v>
      </c>
      <c r="AM173">
        <v>0</v>
      </c>
      <c r="AN173" s="6"/>
      <c r="AO173" s="20">
        <v>-1.2213000000000001</v>
      </c>
      <c r="AP173" s="20">
        <v>-3.1598999999999999</v>
      </c>
      <c r="AQ173" s="20">
        <v>-0.69130000000000003</v>
      </c>
      <c r="AR173" s="20">
        <v>-0.58989999999999998</v>
      </c>
      <c r="AS173" s="20">
        <v>-0.34420000000000001</v>
      </c>
      <c r="AT173" s="20">
        <v>-0.2772</v>
      </c>
      <c r="AU173" s="20">
        <v>0.3387</v>
      </c>
      <c r="AV173" s="20">
        <v>-0.79959999999999998</v>
      </c>
      <c r="AW173" s="6"/>
      <c r="AX173" s="18">
        <v>9.7469999999999999E-8</v>
      </c>
      <c r="AY173" s="18">
        <v>4.8050000000000002E-16</v>
      </c>
      <c r="AZ173" s="18">
        <v>1.2130000000000001E-3</v>
      </c>
      <c r="BA173" s="18">
        <v>7.6309999999999998E-3</v>
      </c>
      <c r="BB173" s="18">
        <v>0.1062</v>
      </c>
      <c r="BC173" s="18">
        <v>0.2084</v>
      </c>
      <c r="BD173" s="18">
        <v>0.1103</v>
      </c>
      <c r="BE173" s="18">
        <v>2.6390000000000002E-4</v>
      </c>
      <c r="BF173" s="13"/>
      <c r="BG173" t="s">
        <v>1164</v>
      </c>
      <c r="BH173" t="s">
        <v>1232</v>
      </c>
      <c r="BI173" t="s">
        <v>1113</v>
      </c>
      <c r="BJ173" t="s">
        <v>1278</v>
      </c>
      <c r="BK173" t="s">
        <v>1286</v>
      </c>
      <c r="BL173" t="s">
        <v>1116</v>
      </c>
      <c r="BM173" t="s">
        <v>1117</v>
      </c>
      <c r="BN173" s="13"/>
      <c r="BO173" t="s">
        <v>973</v>
      </c>
      <c r="BP173" t="s">
        <v>973</v>
      </c>
      <c r="BQ173" t="s">
        <v>973</v>
      </c>
      <c r="BR173" t="s">
        <v>973</v>
      </c>
    </row>
    <row r="174" spans="1:70" x14ac:dyDescent="0.25">
      <c r="A174" t="s">
        <v>748</v>
      </c>
      <c r="B174" t="s">
        <v>654</v>
      </c>
      <c r="C174" t="s">
        <v>18</v>
      </c>
      <c r="D174" s="6"/>
      <c r="E174" s="9" t="str">
        <f>HYPERLINK("http://plants.ensembl.org/Triticum_aestivum/Gene/Summary?g=TRIAE_CS42_5DL_TGACv1_433611_AA1417510","TRIAE_CS42_5DL_TGACv1_433611_AA1417510")</f>
        <v>TRIAE_CS42_5DL_TGACv1_433611_AA1417510</v>
      </c>
      <c r="H174" s="8" t="str">
        <f>HYPERLINK("http://plants.ensembl.org/Brachypodium_distachyon/Gene/Summary?g=Bradi1g07060","Bradi1g07060")</f>
        <v>Bradi1g07060</v>
      </c>
      <c r="I174" s="8" t="str">
        <f>HYPERLINK("http://plants.ensembl.org/Arabidopsis_thaliana/Gene/Summary?g=AT5G42710","AT5G42710")</f>
        <v>AT5G42710</v>
      </c>
      <c r="J174" s="9" t="str">
        <f>HYPERLINK("http://plants.ensembl.org/Oryza_sativa/Gene/Summary?db=otherfeatures;g=LOC_Os03g56430","LOC_Os03g56430")</f>
        <v>LOC_Os03g56430</v>
      </c>
      <c r="L174" s="6"/>
      <c r="M174" s="1" t="s">
        <v>973</v>
      </c>
      <c r="N174" s="1" t="s">
        <v>973</v>
      </c>
      <c r="O174" s="1" t="s">
        <v>973</v>
      </c>
      <c r="P174" s="1">
        <v>1</v>
      </c>
      <c r="Q174" s="1" t="s">
        <v>973</v>
      </c>
      <c r="R174" s="1" t="s">
        <v>973</v>
      </c>
      <c r="S174" s="1"/>
      <c r="T174" s="6"/>
      <c r="U174" s="11">
        <v>6.4887324336914514</v>
      </c>
      <c r="V174" s="11">
        <v>7.3005069276845926</v>
      </c>
      <c r="W174" s="11">
        <v>6.5452960664614839</v>
      </c>
      <c r="X174" s="11">
        <v>6.7116477030904376</v>
      </c>
      <c r="Y174" s="11">
        <v>6.0691020644462341</v>
      </c>
      <c r="Z174" s="11">
        <v>6.8350389565694547</v>
      </c>
      <c r="AA174" s="11">
        <v>7.656606008159641</v>
      </c>
      <c r="AB174" s="11">
        <v>7.6393042865496525</v>
      </c>
      <c r="AC174" s="11">
        <v>7.8602237196876121</v>
      </c>
      <c r="AD174" s="11">
        <v>7.4890279930931225</v>
      </c>
      <c r="AE174" s="11">
        <v>7.7237269206757633</v>
      </c>
      <c r="AF174" s="11">
        <v>7.7841429586412367</v>
      </c>
      <c r="AG174" s="11">
        <v>6.9329812292512365</v>
      </c>
      <c r="AH174" s="11">
        <v>7.6363976863406684</v>
      </c>
      <c r="AI174" s="11">
        <v>8.5357606005152213</v>
      </c>
      <c r="AJ174" s="11">
        <v>8.2299352248893083</v>
      </c>
      <c r="AK174" s="6"/>
      <c r="AL174" t="s">
        <v>1088</v>
      </c>
      <c r="AM174">
        <v>0</v>
      </c>
      <c r="AN174" s="6"/>
      <c r="AO174" s="20">
        <v>-1.5162</v>
      </c>
      <c r="AP174" s="20">
        <v>-0.12970000000000001</v>
      </c>
      <c r="AQ174" s="20">
        <v>-1.1868000000000001</v>
      </c>
      <c r="AR174" s="20">
        <v>-1.0789</v>
      </c>
      <c r="AS174" s="20">
        <v>-0.85940000000000005</v>
      </c>
      <c r="AT174" s="20">
        <v>-0.81479999999999997</v>
      </c>
      <c r="AU174" s="20">
        <v>-0.88339999999999996</v>
      </c>
      <c r="AV174" s="20">
        <v>-0.59179999999999999</v>
      </c>
      <c r="AW174" s="6"/>
      <c r="AX174" s="18">
        <v>2.2180000000000001E-11</v>
      </c>
      <c r="AY174" s="18">
        <v>0.59150000000000003</v>
      </c>
      <c r="AZ174" s="18">
        <v>3.0939999999999999E-9</v>
      </c>
      <c r="BA174" s="18">
        <v>8.2020000000000003E-8</v>
      </c>
      <c r="BB174" s="18">
        <v>4.4499999999999997E-5</v>
      </c>
      <c r="BC174" s="18">
        <v>4.4129999999999999E-5</v>
      </c>
      <c r="BD174" s="18">
        <v>2.847E-6</v>
      </c>
      <c r="BE174" s="18">
        <v>2.098E-3</v>
      </c>
      <c r="BF174" s="13"/>
      <c r="BG174" t="s">
        <v>1384</v>
      </c>
      <c r="BH174" t="s">
        <v>1216</v>
      </c>
      <c r="BI174" t="s">
        <v>1113</v>
      </c>
      <c r="BJ174" t="s">
        <v>1114</v>
      </c>
      <c r="BK174" t="s">
        <v>1115</v>
      </c>
      <c r="BL174" t="s">
        <v>1218</v>
      </c>
      <c r="BM174" t="s">
        <v>1259</v>
      </c>
      <c r="BN174" s="13"/>
      <c r="BO174" t="s">
        <v>973</v>
      </c>
      <c r="BP174" t="s">
        <v>973</v>
      </c>
      <c r="BQ174" t="s">
        <v>973</v>
      </c>
      <c r="BR174" t="s">
        <v>973</v>
      </c>
    </row>
    <row r="175" spans="1:70" x14ac:dyDescent="0.25">
      <c r="A175" t="s">
        <v>749</v>
      </c>
      <c r="B175" t="s">
        <v>750</v>
      </c>
      <c r="C175" t="s">
        <v>18</v>
      </c>
      <c r="D175" s="6"/>
      <c r="G175" t="s">
        <v>997</v>
      </c>
      <c r="H175" s="8" t="str">
        <f>HYPERLINK("http://plants.ensembl.org/Brachypodium_distachyon/Gene/Summary?g=Bradi1g05410","Bradi1g05410")</f>
        <v>Bradi1g05410</v>
      </c>
      <c r="I175" s="1" t="s">
        <v>1051</v>
      </c>
      <c r="J175" s="9" t="str">
        <f>HYPERLINK("http://plants.ensembl.org/Oryza_sativa/Gene/Summary?db=otherfeatures;g=LOC_Os03g58350","LOC_Os03g58350")</f>
        <v>LOC_Os03g58350</v>
      </c>
      <c r="K175" s="9" t="str">
        <f>HYPERLINK("http://plants.ensembl.org/Zea_mays/Gene/Summary?db=otherfeatures;g=GRMZM2G152796","GRMZM2G152796")</f>
        <v>GRMZM2G152796</v>
      </c>
      <c r="L175" s="6"/>
      <c r="M175" t="s">
        <v>973</v>
      </c>
      <c r="N175" t="s">
        <v>973</v>
      </c>
      <c r="O175" t="s">
        <v>973</v>
      </c>
      <c r="P175">
        <v>1</v>
      </c>
      <c r="S175" t="s">
        <v>973</v>
      </c>
      <c r="T175" s="6"/>
      <c r="U175" s="11">
        <v>6.6180002426814832</v>
      </c>
      <c r="V175" s="11">
        <v>5.6273509977576452</v>
      </c>
      <c r="W175" s="11">
        <v>6.7655979512869138</v>
      </c>
      <c r="X175" s="11">
        <v>6.8941859912869976</v>
      </c>
      <c r="Y175" s="11">
        <v>7.0233292892659005</v>
      </c>
      <c r="Z175" s="11">
        <v>5.7364226780145646</v>
      </c>
      <c r="AA175" s="11">
        <v>7.5862680998187377</v>
      </c>
      <c r="AB175" s="11">
        <v>5.4195838345844844</v>
      </c>
      <c r="AC175" s="11">
        <v>6.6867825021511891</v>
      </c>
      <c r="AD175" s="11">
        <v>4.5519035552855254</v>
      </c>
      <c r="AE175" s="11">
        <v>7.3345462279673841</v>
      </c>
      <c r="AF175" s="11">
        <v>6.1664697535384052</v>
      </c>
      <c r="AG175" s="11">
        <v>6.8363285547604722</v>
      </c>
      <c r="AH175" s="11">
        <v>5.1048468251153603</v>
      </c>
      <c r="AI175" s="11">
        <v>6.8852359388345112</v>
      </c>
      <c r="AJ175" s="11">
        <v>5.7123087168348103</v>
      </c>
      <c r="AK175" s="6"/>
      <c r="AL175" t="s">
        <v>1105</v>
      </c>
      <c r="AM175">
        <v>0</v>
      </c>
      <c r="AN175" s="6"/>
      <c r="AO175" s="20">
        <v>-6.7100000000000007E-2</v>
      </c>
      <c r="AP175" s="20">
        <v>0.78090000000000004</v>
      </c>
      <c r="AQ175" s="20">
        <v>-0.56789999999999996</v>
      </c>
      <c r="AR175" s="20">
        <v>0.72050000000000003</v>
      </c>
      <c r="AS175" s="20">
        <v>0.187</v>
      </c>
      <c r="AT175" s="20">
        <v>0.63959999999999995</v>
      </c>
      <c r="AU175" s="20">
        <v>0.7026</v>
      </c>
      <c r="AV175" s="20">
        <v>-0.29930000000000001</v>
      </c>
      <c r="AW175" s="6"/>
      <c r="AX175" s="18">
        <v>0.86709999999999998</v>
      </c>
      <c r="AY175" s="18">
        <v>0.11119999999999999</v>
      </c>
      <c r="AZ175" s="18">
        <v>0.1384</v>
      </c>
      <c r="BA175" s="18">
        <v>6.4829999999999999E-2</v>
      </c>
      <c r="BB175" s="18">
        <v>0.62549999999999994</v>
      </c>
      <c r="BC175" s="18">
        <v>0.1174</v>
      </c>
      <c r="BD175" s="18">
        <v>6.5600000000000006E-2</v>
      </c>
      <c r="BE175" s="18">
        <v>0.45989999999999998</v>
      </c>
      <c r="BF175" s="13"/>
      <c r="BG175" t="s">
        <v>1111</v>
      </c>
      <c r="BH175" t="s">
        <v>1276</v>
      </c>
      <c r="BI175" t="s">
        <v>1113</v>
      </c>
      <c r="BJ175" t="s">
        <v>1244</v>
      </c>
      <c r="BK175" t="s">
        <v>1271</v>
      </c>
      <c r="BL175" t="s">
        <v>1279</v>
      </c>
      <c r="BM175" t="s">
        <v>1117</v>
      </c>
      <c r="BN175" s="13"/>
      <c r="BO175" t="s">
        <v>973</v>
      </c>
      <c r="BP175" t="s">
        <v>973</v>
      </c>
      <c r="BQ175" t="s">
        <v>973</v>
      </c>
      <c r="BR175" t="s">
        <v>973</v>
      </c>
    </row>
    <row r="176" spans="1:70" x14ac:dyDescent="0.25">
      <c r="A176" t="s">
        <v>797</v>
      </c>
      <c r="B176" t="s">
        <v>798</v>
      </c>
      <c r="C176" t="s">
        <v>18</v>
      </c>
      <c r="D176" s="6"/>
      <c r="E176" s="9" t="str">
        <f>HYPERLINK("http://plants.ensembl.org/Triticum_aestivum/Gene/Summary?g=TRIAE_CS42_6AL_TGACv1_472224_AA1519420","TRIAE_CS42_6AL_TGACv1_472224_AA1519420")</f>
        <v>TRIAE_CS42_6AL_TGACv1_472224_AA1519420</v>
      </c>
      <c r="F176" s="9" t="str">
        <f>HYPERLINK("http://mar2016-plants.ensembl.org/Triticum_aestivum/Gene/Summary?db=core;g=Traes_6AL_47CDA3A42","Traes_6AL_47CDA3A42")</f>
        <v>Traes_6AL_47CDA3A42</v>
      </c>
      <c r="G176" t="s">
        <v>1031</v>
      </c>
      <c r="H176" s="8" t="str">
        <f>HYPERLINK("http://plants.ensembl.org/Brachypodium_distachyon/Gene/Summary?g=Bradi3g55410","Bradi3g55410")</f>
        <v>Bradi3g55410</v>
      </c>
      <c r="I176" s="8" t="str">
        <f>HYPERLINK("http://plants.ensembl.org/Arabidopsis_thaliana/Gene/Summary?g=AT2G33310","AT2G33310")</f>
        <v>AT2G33310</v>
      </c>
      <c r="J176" s="9" t="str">
        <f>HYPERLINK("http://plants.ensembl.org/Oryza_sativa/Gene/Summary?db=otherfeatures;g=LOC_Os02g57250","LOC_Os02g57250")</f>
        <v>LOC_Os02g57250</v>
      </c>
      <c r="K176" s="9" t="str">
        <f>HYPERLINK("http://plants.ensembl.org/Zea_mays/Gene/Summary?db=otherfeatures;g=GRMZM2G142768","GRMZM2G142768")</f>
        <v>GRMZM2G142768</v>
      </c>
      <c r="L176" s="6"/>
      <c r="M176" t="s">
        <v>973</v>
      </c>
      <c r="N176" t="s">
        <v>973</v>
      </c>
      <c r="O176" t="s">
        <v>973</v>
      </c>
      <c r="P176">
        <v>1</v>
      </c>
      <c r="S176" t="s">
        <v>973</v>
      </c>
      <c r="T176" s="6"/>
      <c r="U176" s="11">
        <v>5.4143678432182778</v>
      </c>
      <c r="V176" s="11">
        <v>5.4528776295974062</v>
      </c>
      <c r="W176" s="11">
        <v>4.1769716266886139</v>
      </c>
      <c r="X176" s="11">
        <v>4.5397750567110817</v>
      </c>
      <c r="Y176" s="11">
        <v>4.5760907563909221</v>
      </c>
      <c r="Z176" s="11">
        <v>3.6969434231760356</v>
      </c>
      <c r="AA176" s="11">
        <v>4.6711367134158213</v>
      </c>
      <c r="AB176" s="11">
        <v>3.9573574659591801</v>
      </c>
      <c r="AC176" s="11">
        <v>6.6563981663195628</v>
      </c>
      <c r="AD176" s="11">
        <v>6.0338920764839159</v>
      </c>
      <c r="AE176" s="11">
        <v>4.8787629367141836</v>
      </c>
      <c r="AF176" s="11">
        <v>4.2052804171945688</v>
      </c>
      <c r="AG176" s="11">
        <v>5.0722430301048824</v>
      </c>
      <c r="AH176" s="11">
        <v>4.3675621075748969</v>
      </c>
      <c r="AI176" s="11">
        <v>4.8570852512218696</v>
      </c>
      <c r="AJ176" s="11">
        <v>4.4580057063787688</v>
      </c>
      <c r="AK176" s="6"/>
      <c r="AL176" t="s">
        <v>1092</v>
      </c>
      <c r="AM176">
        <v>0</v>
      </c>
      <c r="AN176" s="6"/>
      <c r="AO176" s="20">
        <v>-1.3862000000000001</v>
      </c>
      <c r="AP176" s="20">
        <v>-0.42230000000000001</v>
      </c>
      <c r="AQ176" s="20">
        <v>-0.72750000000000004</v>
      </c>
      <c r="AR176" s="20">
        <v>0.39600000000000002</v>
      </c>
      <c r="AS176" s="20">
        <v>-0.50680000000000003</v>
      </c>
      <c r="AT176" s="20">
        <v>-0.68920000000000003</v>
      </c>
      <c r="AU176" s="20">
        <v>-0.19950000000000001</v>
      </c>
      <c r="AV176" s="20">
        <v>-0.52790000000000004</v>
      </c>
      <c r="AW176" s="6"/>
      <c r="AX176" s="18">
        <v>1.4840000000000001E-3</v>
      </c>
      <c r="AY176" s="18">
        <v>0.38650000000000001</v>
      </c>
      <c r="AZ176" s="18">
        <v>9.9129999999999996E-2</v>
      </c>
      <c r="BA176" s="18">
        <v>0.38419999999999999</v>
      </c>
      <c r="BB176" s="18">
        <v>0.23769999999999999</v>
      </c>
      <c r="BC176" s="18">
        <v>0.13969999999999999</v>
      </c>
      <c r="BD176" s="18">
        <v>0.64100000000000001</v>
      </c>
      <c r="BE176" s="18">
        <v>0.25440000000000002</v>
      </c>
      <c r="BF176" s="13"/>
      <c r="BG176" t="s">
        <v>1134</v>
      </c>
      <c r="BH176" t="s">
        <v>1112</v>
      </c>
      <c r="BI176" t="s">
        <v>1298</v>
      </c>
      <c r="BJ176" t="s">
        <v>1114</v>
      </c>
      <c r="BK176" t="s">
        <v>1115</v>
      </c>
      <c r="BL176" t="s">
        <v>1116</v>
      </c>
      <c r="BM176" t="s">
        <v>1117</v>
      </c>
      <c r="BN176" s="13"/>
      <c r="BO176" t="s">
        <v>973</v>
      </c>
      <c r="BP176" t="s">
        <v>973</v>
      </c>
      <c r="BQ176" t="s">
        <v>973</v>
      </c>
      <c r="BR176" t="s">
        <v>973</v>
      </c>
    </row>
    <row r="177" spans="1:70" x14ac:dyDescent="0.25">
      <c r="A177" t="s">
        <v>863</v>
      </c>
      <c r="B177" t="s">
        <v>864</v>
      </c>
      <c r="C177" t="s">
        <v>18</v>
      </c>
      <c r="D177" s="6"/>
      <c r="E177" s="9" t="str">
        <f>HYPERLINK("http://plants.ensembl.org/Triticum_aestivum/Gene/Summary?g=TRIAE_CS42_7AL_TGACv1_556063_AA1754240","TRIAE_CS42_7AL_TGACv1_556063_AA1754240")</f>
        <v>TRIAE_CS42_7AL_TGACv1_556063_AA1754240</v>
      </c>
      <c r="F177" s="9" t="str">
        <f>HYPERLINK("http://mar2016-plants.ensembl.org/Triticum_aestivum/Gene/Summary?db=core;g=Traes_7AL_354EEE44E","Traes_7AL_354EEE44E")</f>
        <v>Traes_7AL_354EEE44E</v>
      </c>
      <c r="G177" t="s">
        <v>997</v>
      </c>
      <c r="H177" s="1" t="s">
        <v>1051</v>
      </c>
      <c r="I177" s="8" t="str">
        <f>HYPERLINK("http://plants.ensembl.org/Arabidopsis_thaliana/Gene/Summary?g=AT4G29080","AT4G29080")</f>
        <v>AT4G29080</v>
      </c>
      <c r="J177" s="9" t="str">
        <f>HYPERLINK("http://plants.ensembl.org/Oryza_sativa/Gene/Summary?g=OS06G0335500","OS06G0335500")</f>
        <v>OS06G0335500</v>
      </c>
      <c r="L177" s="6"/>
      <c r="M177" t="s">
        <v>973</v>
      </c>
      <c r="N177" t="s">
        <v>973</v>
      </c>
      <c r="O177" t="s">
        <v>973</v>
      </c>
      <c r="P177">
        <v>1</v>
      </c>
      <c r="S177" t="s">
        <v>973</v>
      </c>
      <c r="T177" s="6"/>
      <c r="U177" s="11">
        <v>7.3268509981096335</v>
      </c>
      <c r="V177" s="11">
        <v>5.6850103736607371</v>
      </c>
      <c r="W177" s="11">
        <v>7.9740026602114442</v>
      </c>
      <c r="X177" s="11">
        <v>7.2781706496311731</v>
      </c>
      <c r="Y177" s="11">
        <v>8.1374234287266596</v>
      </c>
      <c r="Z177" s="11">
        <v>7.7095227019824337</v>
      </c>
      <c r="AA177" s="11">
        <v>8.3773279660471953</v>
      </c>
      <c r="AB177" s="11">
        <v>7.3989428769693077</v>
      </c>
      <c r="AC177" s="11">
        <v>8.8013633640322642</v>
      </c>
      <c r="AD177" s="11">
        <v>7.7553520731197283</v>
      </c>
      <c r="AE177" s="11">
        <v>8.5968069633734974</v>
      </c>
      <c r="AF177" s="11">
        <v>8.2100826203373547</v>
      </c>
      <c r="AG177" s="11">
        <v>8.8709353138726641</v>
      </c>
      <c r="AH177" s="11">
        <v>8.2991904616741348</v>
      </c>
      <c r="AI177" s="11">
        <v>8.5908417600942002</v>
      </c>
      <c r="AJ177" s="11">
        <v>8.291002279120729</v>
      </c>
      <c r="AK177" s="6"/>
      <c r="AL177" t="s">
        <v>1075</v>
      </c>
      <c r="AM177">
        <v>0</v>
      </c>
      <c r="AN177" s="6"/>
      <c r="AO177" s="20">
        <v>-1.5710999999999999</v>
      </c>
      <c r="AP177" s="20">
        <v>-2.3285999999999998</v>
      </c>
      <c r="AQ177" s="20">
        <v>-0.62280000000000002</v>
      </c>
      <c r="AR177" s="20">
        <v>-0.92569999999999997</v>
      </c>
      <c r="AS177" s="20">
        <v>-0.73229999999999995</v>
      </c>
      <c r="AT177" s="20">
        <v>-0.59130000000000005</v>
      </c>
      <c r="AU177" s="20">
        <v>-0.2122</v>
      </c>
      <c r="AV177" s="20">
        <v>-0.89429999999999998</v>
      </c>
      <c r="AW177" s="6"/>
      <c r="AX177" s="18">
        <v>1.641E-13</v>
      </c>
      <c r="AY177" s="18">
        <v>8.3549999999999995E-14</v>
      </c>
      <c r="AZ177" s="18">
        <v>1.3649999999999999E-3</v>
      </c>
      <c r="BA177" s="18">
        <v>3.985E-6</v>
      </c>
      <c r="BB177" s="18">
        <v>1.5210000000000001E-4</v>
      </c>
      <c r="BC177" s="18">
        <v>2.7179999999999999E-3</v>
      </c>
      <c r="BD177" s="18">
        <v>0.27039999999999997</v>
      </c>
      <c r="BE177" s="18">
        <v>7.6279999999999996E-6</v>
      </c>
      <c r="BF177" s="13"/>
      <c r="BG177" t="s">
        <v>1164</v>
      </c>
      <c r="BH177" t="s">
        <v>1159</v>
      </c>
      <c r="BI177" t="s">
        <v>1113</v>
      </c>
      <c r="BJ177" t="s">
        <v>1148</v>
      </c>
      <c r="BK177" t="s">
        <v>1182</v>
      </c>
      <c r="BL177" t="s">
        <v>1116</v>
      </c>
      <c r="BM177" t="s">
        <v>1117</v>
      </c>
      <c r="BN177" s="13"/>
      <c r="BO177" t="s">
        <v>973</v>
      </c>
      <c r="BP177" t="s">
        <v>973</v>
      </c>
      <c r="BQ177" t="s">
        <v>973</v>
      </c>
      <c r="BR177" t="s">
        <v>973</v>
      </c>
    </row>
    <row r="178" spans="1:70" x14ac:dyDescent="0.25">
      <c r="A178" t="s">
        <v>915</v>
      </c>
      <c r="B178" t="s">
        <v>916</v>
      </c>
      <c r="C178" t="s">
        <v>18</v>
      </c>
      <c r="D178" s="6"/>
      <c r="E178" s="9" t="str">
        <f>HYPERLINK("http://plants.ensembl.org/Triticum_aestivum/Gene/Summary?g=TRIAE_CS42_7BL_TGACv1_577584_AA1879030","TRIAE_CS42_7BL_TGACv1_577584_AA1879030")</f>
        <v>TRIAE_CS42_7BL_TGACv1_577584_AA1879030</v>
      </c>
      <c r="F178" s="9" t="str">
        <f>HYPERLINK("http://mar2016-plants.ensembl.org/Triticum_aestivum/Gene/Summary?db=core;g=Traes_7BL_74071485F","Traes_7BL_74071485F")</f>
        <v>Traes_7BL_74071485F</v>
      </c>
      <c r="G178" t="s">
        <v>997</v>
      </c>
      <c r="H178" s="1" t="s">
        <v>1051</v>
      </c>
      <c r="I178" s="8" t="str">
        <f>HYPERLINK("http://plants.ensembl.org/Arabidopsis_thaliana/Gene/Summary?g=AT4G29080","AT4G29080")</f>
        <v>AT4G29080</v>
      </c>
      <c r="J178" s="9" t="str">
        <f>HYPERLINK("http://plants.ensembl.org/Oryza_sativa/Gene/Summary?g=OS06G0335500","OS06G0335500")</f>
        <v>OS06G0335500</v>
      </c>
      <c r="L178" s="6"/>
      <c r="M178" t="s">
        <v>973</v>
      </c>
      <c r="N178" t="s">
        <v>973</v>
      </c>
      <c r="O178" t="s">
        <v>973</v>
      </c>
      <c r="P178">
        <v>1</v>
      </c>
      <c r="S178" t="s">
        <v>973</v>
      </c>
      <c r="T178" s="6"/>
      <c r="U178" s="11">
        <v>6.2122898252766676</v>
      </c>
      <c r="V178" s="11">
        <v>5.4250989440805917</v>
      </c>
      <c r="W178" s="11">
        <v>7.7700363589105024</v>
      </c>
      <c r="X178" s="11">
        <v>6.896160017036828</v>
      </c>
      <c r="Y178" s="11">
        <v>8.0434420272873979</v>
      </c>
      <c r="Z178" s="11">
        <v>7.7088142085024485</v>
      </c>
      <c r="AA178" s="11">
        <v>8.3555482879799072</v>
      </c>
      <c r="AB178" s="11">
        <v>7.5710141080786748</v>
      </c>
      <c r="AC178" s="11">
        <v>9.0026181432024668</v>
      </c>
      <c r="AD178" s="11">
        <v>7.7440920096388322</v>
      </c>
      <c r="AE178" s="11">
        <v>8.663148659908563</v>
      </c>
      <c r="AF178" s="11">
        <v>8.5503659918819785</v>
      </c>
      <c r="AG178" s="11">
        <v>9.050293357211272</v>
      </c>
      <c r="AH178" s="11">
        <v>8.657274378966779</v>
      </c>
      <c r="AI178" s="11">
        <v>8.9606991627299397</v>
      </c>
      <c r="AJ178" s="11">
        <v>8.6221166294275946</v>
      </c>
      <c r="AK178" s="6"/>
      <c r="AL178" t="s">
        <v>1076</v>
      </c>
      <c r="AM178">
        <v>0</v>
      </c>
      <c r="AN178" s="6"/>
      <c r="AO178" s="20">
        <v>-2.9563000000000001</v>
      </c>
      <c r="AP178" s="20">
        <v>-2.6387</v>
      </c>
      <c r="AQ178" s="20">
        <v>-0.89359999999999995</v>
      </c>
      <c r="AR178" s="20">
        <v>-1.6536</v>
      </c>
      <c r="AS178" s="20">
        <v>-1.0043</v>
      </c>
      <c r="AT178" s="20">
        <v>-0.94969999999999999</v>
      </c>
      <c r="AU178" s="20">
        <v>-0.60519999999999996</v>
      </c>
      <c r="AV178" s="20">
        <v>-1.0519000000000001</v>
      </c>
      <c r="AW178" s="6"/>
      <c r="AX178" s="18">
        <v>3.7629999999999998E-28</v>
      </c>
      <c r="AY178" s="18">
        <v>9.7730000000000004E-14</v>
      </c>
      <c r="AZ178" s="18">
        <v>1.186E-4</v>
      </c>
      <c r="BA178" s="18">
        <v>3.9659999999999999E-12</v>
      </c>
      <c r="BB178" s="18">
        <v>1.347E-5</v>
      </c>
      <c r="BC178" s="18">
        <v>4.5819999999999998E-5</v>
      </c>
      <c r="BD178" s="18">
        <v>8.3320000000000009E-3</v>
      </c>
      <c r="BE178" s="18">
        <v>7.2269999999999996E-6</v>
      </c>
      <c r="BF178" s="13"/>
      <c r="BG178" t="s">
        <v>1392</v>
      </c>
      <c r="BH178" t="s">
        <v>1177</v>
      </c>
      <c r="BI178" t="s">
        <v>1113</v>
      </c>
      <c r="BJ178" t="s">
        <v>1114</v>
      </c>
      <c r="BK178" t="s">
        <v>1182</v>
      </c>
      <c r="BL178" t="s">
        <v>1116</v>
      </c>
      <c r="BM178" t="s">
        <v>1117</v>
      </c>
      <c r="BN178" s="13"/>
      <c r="BO178" t="s">
        <v>973</v>
      </c>
      <c r="BP178" t="s">
        <v>973</v>
      </c>
      <c r="BQ178" t="s">
        <v>973</v>
      </c>
      <c r="BR178" t="s">
        <v>973</v>
      </c>
    </row>
    <row r="179" spans="1:70" x14ac:dyDescent="0.25">
      <c r="A179" t="s">
        <v>948</v>
      </c>
      <c r="B179" t="s">
        <v>949</v>
      </c>
      <c r="C179" t="s">
        <v>18</v>
      </c>
      <c r="D179" s="6"/>
      <c r="E179" s="9" t="str">
        <f>HYPERLINK("http://plants.ensembl.org/Triticum_aestivum/Gene/Summary?g=TRIAE_CS42_7DL_TGACv1_604024_AA1992570","TRIAE_CS42_7DL_TGACv1_604024_AA1992570")</f>
        <v>TRIAE_CS42_7DL_TGACv1_604024_AA1992570</v>
      </c>
      <c r="F179" s="9" t="str">
        <f>HYPERLINK("http://mar2016-plants.ensembl.org/Triticum_aestivum/Gene/Summary?db=core;g=Traes_7DL_3AB665CC2","Traes_7DL_3AB665CC2")</f>
        <v>Traes_7DL_3AB665CC2</v>
      </c>
      <c r="G179" t="s">
        <v>997</v>
      </c>
      <c r="H179" s="1" t="s">
        <v>1051</v>
      </c>
      <c r="I179" s="8" t="str">
        <f>HYPERLINK("http://plants.ensembl.org/Arabidopsis_thaliana/Gene/Summary?g=AT4G29080","AT4G29080")</f>
        <v>AT4G29080</v>
      </c>
      <c r="J179" s="9" t="str">
        <f>HYPERLINK("http://plants.ensembl.org/Oryza_sativa/Gene/Summary?g=OS06G0335500","OS06G0335500")</f>
        <v>OS06G0335500</v>
      </c>
      <c r="L179" s="6"/>
      <c r="M179" t="s">
        <v>973</v>
      </c>
      <c r="N179" t="s">
        <v>973</v>
      </c>
      <c r="O179" t="s">
        <v>973</v>
      </c>
      <c r="P179">
        <v>1</v>
      </c>
      <c r="S179" t="s">
        <v>973</v>
      </c>
      <c r="T179" s="6"/>
      <c r="U179" s="11">
        <v>6.9170521745007845</v>
      </c>
      <c r="V179" s="11">
        <v>5.8141718415128132</v>
      </c>
      <c r="W179" s="11">
        <v>7.5249104545839298</v>
      </c>
      <c r="X179" s="11">
        <v>7.0319806870636814</v>
      </c>
      <c r="Y179" s="11">
        <v>8.0117796235813703</v>
      </c>
      <c r="Z179" s="11">
        <v>7.6463510959302727</v>
      </c>
      <c r="AA179" s="11">
        <v>8.4289196930654775</v>
      </c>
      <c r="AB179" s="11">
        <v>7.3493346077307811</v>
      </c>
      <c r="AC179" s="11">
        <v>8.9523458955503017</v>
      </c>
      <c r="AD179" s="11">
        <v>7.8247549143065305</v>
      </c>
      <c r="AE179" s="11">
        <v>8.606559560780159</v>
      </c>
      <c r="AF179" s="11">
        <v>8.2251351195901261</v>
      </c>
      <c r="AG179" s="11">
        <v>8.6855569809502455</v>
      </c>
      <c r="AH179" s="11">
        <v>8.3359747585766044</v>
      </c>
      <c r="AI179" s="11">
        <v>8.622859478151689</v>
      </c>
      <c r="AJ179" s="11">
        <v>8.3281688108458933</v>
      </c>
      <c r="AK179" s="6"/>
      <c r="AL179" t="s">
        <v>1079</v>
      </c>
      <c r="AM179">
        <v>0</v>
      </c>
      <c r="AN179" s="6"/>
      <c r="AO179" s="20">
        <v>-2.1617999999999999</v>
      </c>
      <c r="AP179" s="20">
        <v>-2.2050999999999998</v>
      </c>
      <c r="AQ179" s="20">
        <v>-1.0823</v>
      </c>
      <c r="AR179" s="20">
        <v>-1.1974</v>
      </c>
      <c r="AS179" s="20">
        <v>-0.6704</v>
      </c>
      <c r="AT179" s="20">
        <v>-0.69030000000000002</v>
      </c>
      <c r="AU179" s="20">
        <v>-0.19359999999999999</v>
      </c>
      <c r="AV179" s="20">
        <v>-0.98170000000000002</v>
      </c>
      <c r="AW179" s="6"/>
      <c r="AX179" s="18">
        <v>4.7229999999999999E-20</v>
      </c>
      <c r="AY179" s="18">
        <v>1.8869999999999999E-12</v>
      </c>
      <c r="AZ179" s="18">
        <v>4.1020000000000001E-7</v>
      </c>
      <c r="BA179" s="18">
        <v>4.7150000000000002E-8</v>
      </c>
      <c r="BB179" s="18">
        <v>1.537E-3</v>
      </c>
      <c r="BC179" s="18">
        <v>1.3010000000000001E-3</v>
      </c>
      <c r="BD179" s="18">
        <v>0.35680000000000001</v>
      </c>
      <c r="BE179" s="18">
        <v>6.1260000000000003E-6</v>
      </c>
      <c r="BF179" s="13"/>
      <c r="BG179" t="s">
        <v>1397</v>
      </c>
      <c r="BH179" t="s">
        <v>1232</v>
      </c>
      <c r="BI179" t="s">
        <v>1113</v>
      </c>
      <c r="BJ179" t="s">
        <v>1237</v>
      </c>
      <c r="BK179" t="s">
        <v>1182</v>
      </c>
      <c r="BL179" t="s">
        <v>1116</v>
      </c>
      <c r="BM179" t="s">
        <v>1117</v>
      </c>
      <c r="BN179" s="13"/>
      <c r="BO179" t="s">
        <v>973</v>
      </c>
      <c r="BP179" t="s">
        <v>973</v>
      </c>
      <c r="BQ179" t="s">
        <v>973</v>
      </c>
      <c r="BR179" t="s">
        <v>973</v>
      </c>
    </row>
    <row r="180" spans="1:70" x14ac:dyDescent="0.25">
      <c r="A180" t="s">
        <v>343</v>
      </c>
      <c r="B180" t="s">
        <v>344</v>
      </c>
      <c r="C180" t="s">
        <v>186</v>
      </c>
      <c r="D180" s="6"/>
      <c r="E180" s="9" t="str">
        <f>HYPERLINK("http://plants.ensembl.org/Triticum_aestivum/Gene/Summary?g=TRIAE_CS42_3AL_TGACv1_193848_AA0620880","TRIAE_CS42_3AL_TGACv1_193848_AA0620880")</f>
        <v>TRIAE_CS42_3AL_TGACv1_193848_AA0620880</v>
      </c>
      <c r="F180" s="9" t="str">
        <f>HYPERLINK("http://mar2016-plants.ensembl.org/Triticum_aestivum/Gene/Summary?db=core;g=Traes_3AL_945AEAD5B","Traes_3AL_945AEAD5B")</f>
        <v>Traes_3AL_945AEAD5B</v>
      </c>
      <c r="G180" t="s">
        <v>1000</v>
      </c>
      <c r="H180" s="8" t="str">
        <f>HYPERLINK("http://plants.ensembl.org/Brachypodium_distachyon/Gene/Summary?g=Bradi2g57537","Bradi2g57537")</f>
        <v>Bradi2g57537</v>
      </c>
      <c r="I180" s="8" t="str">
        <f>HYPERLINK("http://plants.ensembl.org/Arabidopsis_thaliana/Gene/Summary?g=AT1G08450","AT1G08450")</f>
        <v>AT1G08450</v>
      </c>
      <c r="J180" s="9" t="str">
        <f>HYPERLINK("http://plants.ensembl.org/Oryza_sativa/Gene/Summary?db=otherfeatures;g=LOC_Os01g67054","LOC_Os01g67054")</f>
        <v>LOC_Os01g67054</v>
      </c>
      <c r="K180" s="9" t="str">
        <f>HYPERLINK("http://plants.ensembl.org/Zea_mays/Gene/Summary?db=otherfeatures;g=GRMZM2G028516","GRMZM2G028516")</f>
        <v>GRMZM2G028516</v>
      </c>
      <c r="L180" s="6"/>
      <c r="M180">
        <v>1</v>
      </c>
      <c r="N180" t="s">
        <v>973</v>
      </c>
      <c r="O180" t="s">
        <v>973</v>
      </c>
      <c r="P180" t="s">
        <v>973</v>
      </c>
      <c r="S180" t="s">
        <v>973</v>
      </c>
      <c r="T180" s="6"/>
      <c r="U180" s="11">
        <v>11.993234820351903</v>
      </c>
      <c r="V180" s="11">
        <v>10.694333073001616</v>
      </c>
      <c r="W180" s="11">
        <v>11.405627457430802</v>
      </c>
      <c r="X180" s="11">
        <v>10.892593131752852</v>
      </c>
      <c r="Y180" s="11">
        <v>11.569406404659599</v>
      </c>
      <c r="Z180" s="11">
        <v>10.815330694929999</v>
      </c>
      <c r="AA180" s="11">
        <v>10.747899891243382</v>
      </c>
      <c r="AB180" s="11">
        <v>10.888492657791726</v>
      </c>
      <c r="AC180" s="11">
        <v>10.918552781009417</v>
      </c>
      <c r="AD180" s="11">
        <v>9.267927832382016</v>
      </c>
      <c r="AE180" s="11">
        <v>9.5791489650409112</v>
      </c>
      <c r="AF180" s="11">
        <v>9.1302951246149053</v>
      </c>
      <c r="AG180" s="11">
        <v>8.9802565121416915</v>
      </c>
      <c r="AH180" s="11">
        <v>8.7475999926208345</v>
      </c>
      <c r="AI180" s="11">
        <v>10.69448177780059</v>
      </c>
      <c r="AJ180" s="11">
        <v>9.1691460865439982</v>
      </c>
      <c r="AK180" s="6"/>
      <c r="AL180" t="s">
        <v>1077</v>
      </c>
      <c r="AM180">
        <v>0</v>
      </c>
      <c r="AN180" s="6"/>
      <c r="AO180" s="20">
        <v>1.0706</v>
      </c>
      <c r="AP180" s="20">
        <v>1.3997999999999999</v>
      </c>
      <c r="AQ180" s="20">
        <v>1.8209</v>
      </c>
      <c r="AR180" s="20">
        <v>1.7585</v>
      </c>
      <c r="AS180" s="20">
        <v>2.5815999999999999</v>
      </c>
      <c r="AT180" s="20">
        <v>2.0608</v>
      </c>
      <c r="AU180" s="20">
        <v>5.3400000000000003E-2</v>
      </c>
      <c r="AV180" s="20">
        <v>1.7148000000000001</v>
      </c>
      <c r="AW180" s="6"/>
      <c r="AX180" s="18">
        <v>8.6910000000000006E-5</v>
      </c>
      <c r="AY180" s="18">
        <v>6.5260000000000001E-7</v>
      </c>
      <c r="AZ180" s="18">
        <v>2.6059999999999998E-11</v>
      </c>
      <c r="BA180" s="18">
        <v>1.3909999999999999E-10</v>
      </c>
      <c r="BB180" s="18">
        <v>3.3859999999999999E-21</v>
      </c>
      <c r="BC180" s="18">
        <v>6.1870000000000005E-14</v>
      </c>
      <c r="BD180" s="18">
        <v>0.84470000000000001</v>
      </c>
      <c r="BE180" s="18">
        <v>3.7459999999999998E-10</v>
      </c>
      <c r="BF180" s="13"/>
      <c r="BG180" t="s">
        <v>1190</v>
      </c>
      <c r="BH180" t="s">
        <v>1193</v>
      </c>
      <c r="BI180" t="s">
        <v>1135</v>
      </c>
      <c r="BJ180" t="s">
        <v>1148</v>
      </c>
      <c r="BK180" t="s">
        <v>1297</v>
      </c>
      <c r="BL180" t="s">
        <v>1116</v>
      </c>
      <c r="BM180" t="s">
        <v>1189</v>
      </c>
      <c r="BN180" s="13"/>
      <c r="BO180" t="s">
        <v>973</v>
      </c>
      <c r="BP180" t="s">
        <v>973</v>
      </c>
      <c r="BQ180" t="s">
        <v>973</v>
      </c>
      <c r="BR180" t="s">
        <v>973</v>
      </c>
    </row>
    <row r="181" spans="1:70" x14ac:dyDescent="0.25">
      <c r="A181" t="s">
        <v>43</v>
      </c>
      <c r="B181" t="s">
        <v>44</v>
      </c>
      <c r="C181" t="s">
        <v>45</v>
      </c>
      <c r="D181" s="6"/>
      <c r="G181" t="s">
        <v>978</v>
      </c>
      <c r="H181" s="8" t="str">
        <f>HYPERLINK("http://plants.ensembl.org/Brachypodium_distachyon/Gene/Summary?g=Bradi2g23730","Bradi2g23730")</f>
        <v>Bradi2g23730</v>
      </c>
      <c r="I181" s="8" t="str">
        <f>HYPERLINK("http://plants.ensembl.org/Arabidopsis_thaliana/Gene/Summary?g=AT2G39940","AT2G39940")</f>
        <v>AT2G39940</v>
      </c>
      <c r="J181" s="9" t="str">
        <f>HYPERLINK("http://plants.ensembl.org/Oryza_sativa/Gene/Summary?db=otherfeatures;g=LOC_Os05g37690","LOC_Os05g37690")</f>
        <v>LOC_Os05g37690</v>
      </c>
      <c r="L181" s="6"/>
      <c r="M181" t="s">
        <v>973</v>
      </c>
      <c r="N181">
        <v>1</v>
      </c>
      <c r="O181" t="s">
        <v>973</v>
      </c>
      <c r="P181" t="s">
        <v>973</v>
      </c>
      <c r="S181" t="s">
        <v>973</v>
      </c>
      <c r="T181" s="6"/>
      <c r="U181" s="11">
        <v>8.9362693667643143</v>
      </c>
      <c r="V181" s="11">
        <v>8.8176796383302847</v>
      </c>
      <c r="W181" s="11">
        <v>9.7016288733260563</v>
      </c>
      <c r="X181" s="11">
        <v>9.4577681452185818</v>
      </c>
      <c r="Y181" s="11">
        <v>9.7346582557556438</v>
      </c>
      <c r="Z181" s="11">
        <v>9.5057862188873923</v>
      </c>
      <c r="AA181" s="11">
        <v>10.112189869836881</v>
      </c>
      <c r="AB181" s="11">
        <v>9.6247272330757383</v>
      </c>
      <c r="AC181" s="11">
        <v>10.035928241931966</v>
      </c>
      <c r="AD181" s="11">
        <v>9.5876308333134208</v>
      </c>
      <c r="AE181" s="11">
        <v>10.346164245426252</v>
      </c>
      <c r="AF181" s="11">
        <v>10.073781859434908</v>
      </c>
      <c r="AG181" s="11">
        <v>10.388022740301146</v>
      </c>
      <c r="AH181" s="11">
        <v>10.013543585911217</v>
      </c>
      <c r="AI181" s="11">
        <v>10.329285643652966</v>
      </c>
      <c r="AJ181" s="11">
        <v>10.178084959447942</v>
      </c>
      <c r="AK181" s="6"/>
      <c r="AL181" t="s">
        <v>1076</v>
      </c>
      <c r="AM181">
        <v>0</v>
      </c>
      <c r="AN181" s="6"/>
      <c r="AO181" s="20">
        <v>-1.1592</v>
      </c>
      <c r="AP181" s="20">
        <v>-0.78490000000000004</v>
      </c>
      <c r="AQ181" s="20">
        <v>-0.64380000000000004</v>
      </c>
      <c r="AR181" s="20">
        <v>-0.61719999999999997</v>
      </c>
      <c r="AS181" s="20">
        <v>-0.65229999999999999</v>
      </c>
      <c r="AT181" s="20">
        <v>-0.50749999999999995</v>
      </c>
      <c r="AU181" s="20">
        <v>-0.21740000000000001</v>
      </c>
      <c r="AV181" s="20">
        <v>-0.55330000000000001</v>
      </c>
      <c r="AW181" s="6"/>
      <c r="AX181" s="18">
        <v>6.1200000000000001E-17</v>
      </c>
      <c r="AY181" s="18">
        <v>4.0200000000000003E-7</v>
      </c>
      <c r="AZ181" s="18">
        <v>5.327E-7</v>
      </c>
      <c r="BA181" s="18">
        <v>2.0090000000000002E-6</v>
      </c>
      <c r="BB181" s="18">
        <v>3.6749999999999998E-7</v>
      </c>
      <c r="BC181" s="18">
        <v>8.9679999999999995E-5</v>
      </c>
      <c r="BD181" s="18">
        <v>8.8169999999999998E-2</v>
      </c>
      <c r="BE181" s="18">
        <v>1.8879999999999999E-5</v>
      </c>
      <c r="BF181" s="13"/>
      <c r="BG181" t="s">
        <v>1134</v>
      </c>
      <c r="BH181" t="s">
        <v>1216</v>
      </c>
      <c r="BI181" t="s">
        <v>1113</v>
      </c>
      <c r="BJ181" t="s">
        <v>1114</v>
      </c>
      <c r="BK181" t="s">
        <v>1115</v>
      </c>
      <c r="BL181" t="s">
        <v>1116</v>
      </c>
      <c r="BM181" t="s">
        <v>1117</v>
      </c>
      <c r="BN181" s="13"/>
      <c r="BO181" t="s">
        <v>973</v>
      </c>
      <c r="BP181" t="s">
        <v>973</v>
      </c>
      <c r="BQ181" t="s">
        <v>973</v>
      </c>
      <c r="BR181" t="s">
        <v>973</v>
      </c>
    </row>
    <row r="182" spans="1:70" x14ac:dyDescent="0.25">
      <c r="A182" t="s">
        <v>88</v>
      </c>
      <c r="B182" t="s">
        <v>44</v>
      </c>
      <c r="C182" t="s">
        <v>45</v>
      </c>
      <c r="D182" s="6"/>
      <c r="E182" s="9" t="str">
        <f>HYPERLINK("http://plants.ensembl.org/Triticum_aestivum/Gene/Summary?g=TRIAE_CS42_1BL_TGACv1_033595_AA0140530","TRIAE_CS42_1BL_TGACv1_033595_AA0140530")</f>
        <v>TRIAE_CS42_1BL_TGACv1_033595_AA0140530</v>
      </c>
      <c r="F182" s="9" t="str">
        <f>HYPERLINK("http://mar2016-plants.ensembl.org/Triticum_aestivum/Gene/Summary?db=core;g=Traes_1BL_4B257D004","Traes_1BL_4B257D004")</f>
        <v>Traes_1BL_4B257D004</v>
      </c>
      <c r="G182" t="s">
        <v>978</v>
      </c>
      <c r="H182" s="8" t="str">
        <f>HYPERLINK("http://plants.ensembl.org/Brachypodium_distachyon/Gene/Summary?g=Bradi2g23730","Bradi2g23730")</f>
        <v>Bradi2g23730</v>
      </c>
      <c r="I182" s="1" t="s">
        <v>1051</v>
      </c>
      <c r="J182" s="9" t="str">
        <f>HYPERLINK("http://plants.ensembl.org/Oryza_sativa/Gene/Summary?db=otherfeatures;g=LOC_Os05g37690","LOC_Os05g37690")</f>
        <v>LOC_Os05g37690</v>
      </c>
      <c r="L182" s="6"/>
      <c r="M182" t="s">
        <v>973</v>
      </c>
      <c r="N182">
        <v>1</v>
      </c>
      <c r="O182" t="s">
        <v>973</v>
      </c>
      <c r="P182" t="s">
        <v>973</v>
      </c>
      <c r="S182" t="s">
        <v>973</v>
      </c>
      <c r="T182" s="6"/>
      <c r="U182" s="11">
        <v>8.3602619883675828</v>
      </c>
      <c r="V182" s="11">
        <v>8.2506739277416266</v>
      </c>
      <c r="W182" s="11">
        <v>8.3447131193799713</v>
      </c>
      <c r="X182" s="11">
        <v>8.3206156976125438</v>
      </c>
      <c r="Y182" s="11">
        <v>8.5118708313426996</v>
      </c>
      <c r="Z182" s="11">
        <v>8.3182048985611061</v>
      </c>
      <c r="AA182" s="11">
        <v>9.0880861948058165</v>
      </c>
      <c r="AB182" s="11">
        <v>8.3517940877087504</v>
      </c>
      <c r="AC182" s="11">
        <v>9.4956175554594147</v>
      </c>
      <c r="AD182" s="11">
        <v>8.9130942522168386</v>
      </c>
      <c r="AE182" s="11">
        <v>8.738123117872922</v>
      </c>
      <c r="AF182" s="11">
        <v>8.4707788394847672</v>
      </c>
      <c r="AG182" s="11">
        <v>9.1029899704396104</v>
      </c>
      <c r="AH182" s="11">
        <v>8.6019730362381868</v>
      </c>
      <c r="AI182" s="11">
        <v>9.3494062680282681</v>
      </c>
      <c r="AJ182" s="11">
        <v>8.8133561213303278</v>
      </c>
      <c r="AK182" s="6"/>
      <c r="AL182" t="s">
        <v>1079</v>
      </c>
      <c r="AM182">
        <v>0</v>
      </c>
      <c r="AN182" s="6"/>
      <c r="AO182" s="20">
        <v>-1.1958</v>
      </c>
      <c r="AP182" s="20">
        <v>-0.55769999999999997</v>
      </c>
      <c r="AQ182" s="20">
        <v>-0.39479999999999998</v>
      </c>
      <c r="AR182" s="20">
        <v>-0.1542</v>
      </c>
      <c r="AS182" s="20">
        <v>-0.58879999999999999</v>
      </c>
      <c r="AT182" s="20">
        <v>-0.28270000000000001</v>
      </c>
      <c r="AU182" s="20">
        <v>-0.26450000000000001</v>
      </c>
      <c r="AV182" s="20">
        <v>-0.46210000000000001</v>
      </c>
      <c r="AW182" s="6"/>
      <c r="AX182" s="18">
        <v>1.254E-13</v>
      </c>
      <c r="AY182" s="18">
        <v>2.111E-3</v>
      </c>
      <c r="AZ182" s="18">
        <v>9.8180000000000003E-3</v>
      </c>
      <c r="BA182" s="18">
        <v>0.32050000000000001</v>
      </c>
      <c r="BB182" s="18">
        <v>9.9560000000000002E-5</v>
      </c>
      <c r="BC182" s="18">
        <v>6.6769999999999996E-2</v>
      </c>
      <c r="BD182" s="18">
        <v>7.5429999999999997E-2</v>
      </c>
      <c r="BE182" s="18">
        <v>2.6779999999999998E-3</v>
      </c>
      <c r="BF182" s="13"/>
      <c r="BG182" t="s">
        <v>1134</v>
      </c>
      <c r="BH182" t="s">
        <v>1112</v>
      </c>
      <c r="BI182" t="s">
        <v>1113</v>
      </c>
      <c r="BJ182" t="s">
        <v>1114</v>
      </c>
      <c r="BK182" t="s">
        <v>1115</v>
      </c>
      <c r="BL182" t="s">
        <v>1116</v>
      </c>
      <c r="BM182" t="s">
        <v>1117</v>
      </c>
      <c r="BN182" s="13"/>
      <c r="BO182" t="s">
        <v>973</v>
      </c>
      <c r="BP182" t="s">
        <v>973</v>
      </c>
      <c r="BQ182" t="s">
        <v>973</v>
      </c>
      <c r="BR182" t="s">
        <v>973</v>
      </c>
    </row>
    <row r="183" spans="1:70" x14ac:dyDescent="0.25">
      <c r="A183" t="s">
        <v>110</v>
      </c>
      <c r="B183" t="s">
        <v>44</v>
      </c>
      <c r="C183" t="s">
        <v>45</v>
      </c>
      <c r="D183" s="6"/>
      <c r="E183" s="9" t="str">
        <f>HYPERLINK("http://plants.ensembl.org/Triticum_aestivum/Gene/Summary?g=TRIAE_CS42_1DL_TGACv1_062224_AA0210810","TRIAE_CS42_1DL_TGACv1_062224_AA0210810")</f>
        <v>TRIAE_CS42_1DL_TGACv1_062224_AA0210810</v>
      </c>
      <c r="F183" s="9" t="str">
        <f>HYPERLINK("http://mar2016-plants.ensembl.org/Triticum_aestivum/Gene/Summary?db=core;g=Traes_1DL_E329E0435","Traes_1DL_E329E0435")</f>
        <v>Traes_1DL_E329E0435</v>
      </c>
      <c r="G183" t="s">
        <v>978</v>
      </c>
      <c r="H183" s="8" t="str">
        <f>HYPERLINK("http://plants.ensembl.org/Brachypodium_distachyon/Gene/Summary?g=Bradi2g23730","Bradi2g23730")</f>
        <v>Bradi2g23730</v>
      </c>
      <c r="I183" s="1" t="s">
        <v>1051</v>
      </c>
      <c r="J183" s="9" t="str">
        <f>HYPERLINK("http://plants.ensembl.org/Oryza_sativa/Gene/Summary?db=otherfeatures;g=LOC_Os05g37690","LOC_Os05g37690")</f>
        <v>LOC_Os05g37690</v>
      </c>
      <c r="L183" s="6"/>
      <c r="M183" t="s">
        <v>973</v>
      </c>
      <c r="N183">
        <v>1</v>
      </c>
      <c r="O183" t="s">
        <v>973</v>
      </c>
      <c r="P183" t="s">
        <v>973</v>
      </c>
      <c r="S183" t="s">
        <v>973</v>
      </c>
      <c r="T183" s="6"/>
      <c r="U183" s="11">
        <v>7.8823086232362289</v>
      </c>
      <c r="V183" s="11">
        <v>7.6158976155929379</v>
      </c>
      <c r="W183" s="11">
        <v>8.3394630059252943</v>
      </c>
      <c r="X183" s="11">
        <v>8.2307285158647954</v>
      </c>
      <c r="Y183" s="11">
        <v>8.3341548252353057</v>
      </c>
      <c r="Z183" s="11">
        <v>8.2909437803574626</v>
      </c>
      <c r="AA183" s="11">
        <v>8.9043639686678198</v>
      </c>
      <c r="AB183" s="11">
        <v>8.4670426261915601</v>
      </c>
      <c r="AC183" s="11">
        <v>9.0386638894799578</v>
      </c>
      <c r="AD183" s="11">
        <v>8.4120619739292959</v>
      </c>
      <c r="AE183" s="11">
        <v>8.7462088427714679</v>
      </c>
      <c r="AF183" s="11">
        <v>8.6491599946417903</v>
      </c>
      <c r="AG183" s="11">
        <v>8.9303565104161375</v>
      </c>
      <c r="AH183" s="11">
        <v>8.7297957595436984</v>
      </c>
      <c r="AI183" s="11">
        <v>9.0601266662908397</v>
      </c>
      <c r="AJ183" s="11">
        <v>8.9187608937071232</v>
      </c>
      <c r="AK183" s="6"/>
      <c r="AL183" t="s">
        <v>1079</v>
      </c>
      <c r="AM183">
        <v>0</v>
      </c>
      <c r="AN183" s="6"/>
      <c r="AO183" s="20">
        <v>-1.1488</v>
      </c>
      <c r="AP183" s="20">
        <v>-0.71870000000000001</v>
      </c>
      <c r="AQ183" s="20">
        <v>-0.40649999999999997</v>
      </c>
      <c r="AR183" s="20">
        <v>-0.41670000000000001</v>
      </c>
      <c r="AS183" s="20">
        <v>-0.59379999999999999</v>
      </c>
      <c r="AT183" s="20">
        <v>-0.43959999999999999</v>
      </c>
      <c r="AU183" s="20">
        <v>-0.1605</v>
      </c>
      <c r="AV183" s="20">
        <v>-0.4531</v>
      </c>
      <c r="AW183" s="6"/>
      <c r="AX183" s="18">
        <v>9.4950000000000003E-19</v>
      </c>
      <c r="AY183" s="18">
        <v>1.0380000000000001E-5</v>
      </c>
      <c r="AZ183" s="18">
        <v>3.4039999999999998E-4</v>
      </c>
      <c r="BA183" s="18">
        <v>3.369E-4</v>
      </c>
      <c r="BB183" s="18">
        <v>1.367E-7</v>
      </c>
      <c r="BC183" s="18">
        <v>1.2769999999999999E-4</v>
      </c>
      <c r="BD183" s="18">
        <v>0.1416</v>
      </c>
      <c r="BE183" s="18">
        <v>6.8360000000000003E-5</v>
      </c>
      <c r="BF183" s="13"/>
      <c r="BG183" t="s">
        <v>1134</v>
      </c>
      <c r="BH183" t="s">
        <v>1216</v>
      </c>
      <c r="BI183" t="s">
        <v>1113</v>
      </c>
      <c r="BJ183" t="s">
        <v>1114</v>
      </c>
      <c r="BK183" t="s">
        <v>1115</v>
      </c>
      <c r="BL183" t="s">
        <v>1116</v>
      </c>
      <c r="BM183" t="s">
        <v>1117</v>
      </c>
      <c r="BN183" s="13"/>
      <c r="BO183" t="s">
        <v>973</v>
      </c>
      <c r="BP183" t="s">
        <v>973</v>
      </c>
      <c r="BQ183" t="s">
        <v>973</v>
      </c>
      <c r="BR183" t="s">
        <v>973</v>
      </c>
    </row>
    <row r="184" spans="1:70" x14ac:dyDescent="0.25">
      <c r="A184" t="s">
        <v>706</v>
      </c>
      <c r="B184" t="s">
        <v>651</v>
      </c>
      <c r="C184" t="s">
        <v>652</v>
      </c>
      <c r="D184" s="6"/>
      <c r="E184" s="9" t="str">
        <f>HYPERLINK("http://plants.ensembl.org/Triticum_aestivum/Gene/Summary?g=TRIAE_CS42_5BL_TGACv1_406096_AA1340710","TRIAE_CS42_5BL_TGACv1_406096_AA1340710")</f>
        <v>TRIAE_CS42_5BL_TGACv1_406096_AA1340710</v>
      </c>
      <c r="F184" s="9" t="str">
        <f>HYPERLINK("http://mar2016-plants.ensembl.org/Triticum_aestivum/Gene/Summary?db=core;g=Traes_5BL_10BFBACCA","Traes_5BL_10BFBACCA")</f>
        <v>Traes_5BL_10BFBACCA</v>
      </c>
      <c r="G184" t="s">
        <v>1004</v>
      </c>
      <c r="H184" s="8" t="str">
        <f>HYPERLINK("http://plants.ensembl.org/Brachypodium_distachyon/Gene/Summary?g=Bradi1g07480","Bradi1g07480")</f>
        <v>Bradi1g07480</v>
      </c>
      <c r="I184" s="8" t="str">
        <f>HYPERLINK("http://plants.ensembl.org/Arabidopsis_thaliana/Gene/Summary?g=AT5G42650","AT5G42650")</f>
        <v>AT5G42650</v>
      </c>
      <c r="J184" s="9" t="str">
        <f>HYPERLINK("http://plants.ensembl.org/Oryza_sativa/Gene/Summary?db=otherfeatures;g=LOC_Os03g55800","LOC_Os03g55800")</f>
        <v>LOC_Os03g55800</v>
      </c>
      <c r="K184" s="9" t="str">
        <f>HYPERLINK("http://plants.ensembl.org/Zea_mays/Gene/Summary?db=otherfeatures;g=GRMZM2G376661","GRMZM2G376661")</f>
        <v>GRMZM2G376661</v>
      </c>
      <c r="L184" s="6"/>
      <c r="M184" t="s">
        <v>973</v>
      </c>
      <c r="N184">
        <v>1</v>
      </c>
      <c r="O184" t="s">
        <v>973</v>
      </c>
      <c r="P184" t="s">
        <v>973</v>
      </c>
      <c r="S184" t="s">
        <v>973</v>
      </c>
      <c r="T184" s="6"/>
      <c r="U184" s="11">
        <v>7.7639154470434262</v>
      </c>
      <c r="V184" s="11">
        <v>7.5897951903793972</v>
      </c>
      <c r="W184" s="11">
        <v>6.4465721984433655</v>
      </c>
      <c r="X184" s="11">
        <v>6.2836859943556869</v>
      </c>
      <c r="Y184" s="11">
        <v>6.6992448384325094</v>
      </c>
      <c r="Z184" s="11">
        <v>6.0510769484503273</v>
      </c>
      <c r="AA184" s="11">
        <v>6.8561217058357506</v>
      </c>
      <c r="AB184" s="11">
        <v>5.8243783645433034</v>
      </c>
      <c r="AC184" s="11">
        <v>3.5541222025000536</v>
      </c>
      <c r="AD184" s="11">
        <v>1.3718004531464156</v>
      </c>
      <c r="AE184" s="11">
        <v>3.2119259225262913</v>
      </c>
      <c r="AF184" s="11">
        <v>3.0389921278713601</v>
      </c>
      <c r="AG184" s="11">
        <v>3.6321751353974845</v>
      </c>
      <c r="AH184" s="11">
        <v>2.5154601575600486</v>
      </c>
      <c r="AI184" s="11">
        <v>3.1588001837488249</v>
      </c>
      <c r="AJ184" s="11">
        <v>2.0257375614136079</v>
      </c>
      <c r="AK184" s="6"/>
      <c r="AL184" t="s">
        <v>1077</v>
      </c>
      <c r="AM184">
        <v>1113</v>
      </c>
      <c r="AN184" s="6"/>
      <c r="AO184" s="20">
        <v>4.3548</v>
      </c>
      <c r="AP184" s="20">
        <v>6.1398000000000001</v>
      </c>
      <c r="AQ184" s="20">
        <v>3.3207</v>
      </c>
      <c r="AR184" s="20">
        <v>3.3252000000000002</v>
      </c>
      <c r="AS184" s="20">
        <v>3.1044</v>
      </c>
      <c r="AT184" s="20">
        <v>3.6993999999999998</v>
      </c>
      <c r="AU184" s="20">
        <v>3.7839</v>
      </c>
      <c r="AV184" s="20">
        <v>4.0609999999999999</v>
      </c>
      <c r="AW184" s="6"/>
      <c r="AX184" s="18">
        <v>5.3860000000000005E-13</v>
      </c>
      <c r="AY184" s="18">
        <v>4.3149999999999998E-14</v>
      </c>
      <c r="AZ184" s="18">
        <v>4.0289999999999999E-8</v>
      </c>
      <c r="BA184" s="18">
        <v>7.1849999999999998E-8</v>
      </c>
      <c r="BB184" s="18">
        <v>8.0929999999999997E-8</v>
      </c>
      <c r="BC184" s="18">
        <v>1.267E-8</v>
      </c>
      <c r="BD184" s="18">
        <v>3.5659999999999999E-10</v>
      </c>
      <c r="BE184" s="18">
        <v>2.0259999999999998E-9</v>
      </c>
      <c r="BF184" s="13"/>
      <c r="BG184" t="s">
        <v>1261</v>
      </c>
      <c r="BH184" t="s">
        <v>1269</v>
      </c>
      <c r="BI184" t="s">
        <v>1113</v>
      </c>
      <c r="BJ184" t="s">
        <v>1114</v>
      </c>
      <c r="BK184" t="s">
        <v>1115</v>
      </c>
      <c r="BL184" t="s">
        <v>1116</v>
      </c>
      <c r="BM184" t="s">
        <v>1117</v>
      </c>
      <c r="BN184" s="13"/>
      <c r="BO184" t="s">
        <v>973</v>
      </c>
      <c r="BP184" t="s">
        <v>973</v>
      </c>
      <c r="BQ184" t="s">
        <v>973</v>
      </c>
      <c r="BR184" t="s">
        <v>973</v>
      </c>
    </row>
    <row r="185" spans="1:70" x14ac:dyDescent="0.25">
      <c r="A185" t="s">
        <v>633</v>
      </c>
      <c r="B185" t="s">
        <v>634</v>
      </c>
      <c r="C185" t="s">
        <v>635</v>
      </c>
      <c r="D185" s="6"/>
      <c r="E185" s="9" t="str">
        <f>HYPERLINK("http://plants.ensembl.org/Triticum_aestivum/Gene/Summary?g=TRIAE_CS42_5AL_TGACv1_374310_AA1196560","TRIAE_CS42_5AL_TGACv1_374310_AA1196560")</f>
        <v>TRIAE_CS42_5AL_TGACv1_374310_AA1196560</v>
      </c>
      <c r="H185" s="8" t="str">
        <f>HYPERLINK("http://plants.ensembl.org/Brachypodium_distachyon/Gene/Summary?g=Bradi3g38150","Bradi3g38150")</f>
        <v>Bradi3g38150</v>
      </c>
      <c r="I185" s="8" t="str">
        <f>HYPERLINK("http://plants.ensembl.org/Arabidopsis_thaliana/Gene/Summary?g=AT3G19270","AT3G19270")</f>
        <v>AT3G19270</v>
      </c>
      <c r="J185" s="9" t="str">
        <f>HYPERLINK("http://plants.ensembl.org/Oryza_sativa/Gene/Summary?db=otherfeatures;g=LOC_Os08g36860","LOC_Os08g36860")</f>
        <v>LOC_Os08g36860</v>
      </c>
      <c r="L185" s="6"/>
      <c r="M185" s="1" t="s">
        <v>973</v>
      </c>
      <c r="N185" s="1" t="s">
        <v>973</v>
      </c>
      <c r="O185" s="1" t="s">
        <v>973</v>
      </c>
      <c r="P185" s="1" t="s">
        <v>973</v>
      </c>
      <c r="Q185" s="1" t="s">
        <v>973</v>
      </c>
      <c r="R185" s="1" t="s">
        <v>973</v>
      </c>
      <c r="S185" s="1">
        <v>1</v>
      </c>
      <c r="T185" s="6"/>
      <c r="U185" s="11">
        <v>5.3434172980961918</v>
      </c>
      <c r="V185" s="11">
        <v>8.1335636969816765</v>
      </c>
      <c r="W185" s="11">
        <v>5.2884004002354104</v>
      </c>
      <c r="X185" s="11">
        <v>5.6855636384928987</v>
      </c>
      <c r="Y185" s="11">
        <v>4.7257556960632474</v>
      </c>
      <c r="Z185" s="11">
        <v>5.4562520023734464</v>
      </c>
      <c r="AA185" s="11">
        <v>5.666715885348089</v>
      </c>
      <c r="AB185" s="11">
        <v>6.2171221221844313</v>
      </c>
      <c r="AC185" s="11">
        <v>5.1589092193430055</v>
      </c>
      <c r="AD185" s="11">
        <v>4.9759450040125976</v>
      </c>
      <c r="AE185" s="11">
        <v>6.40255563071661</v>
      </c>
      <c r="AF185" s="11">
        <v>5.1856300402013478</v>
      </c>
      <c r="AG185" s="11">
        <v>4.7985413555249758</v>
      </c>
      <c r="AH185" s="11">
        <v>4.7033757572796651</v>
      </c>
      <c r="AI185" s="11">
        <v>5.8522652381917535</v>
      </c>
      <c r="AJ185" s="11">
        <v>5.5545417842631428</v>
      </c>
      <c r="AK185" s="6"/>
      <c r="AL185" t="s">
        <v>1073</v>
      </c>
      <c r="AM185">
        <v>0</v>
      </c>
      <c r="AN185" s="6"/>
      <c r="AO185" s="20">
        <v>0.2782</v>
      </c>
      <c r="AP185" s="20">
        <v>3.2461000000000002</v>
      </c>
      <c r="AQ185" s="20">
        <v>-1.1226</v>
      </c>
      <c r="AR185" s="20">
        <v>0.51129999999999998</v>
      </c>
      <c r="AS185" s="20">
        <v>-7.2900000000000006E-2</v>
      </c>
      <c r="AT185" s="20">
        <v>0.77110000000000001</v>
      </c>
      <c r="AU185" s="20">
        <v>-0.17829999999999999</v>
      </c>
      <c r="AV185" s="20">
        <v>0.66910000000000003</v>
      </c>
      <c r="AW185" s="6"/>
      <c r="AX185" s="18">
        <v>0.51149999999999995</v>
      </c>
      <c r="AY185" s="18">
        <v>4.3720000000000002E-14</v>
      </c>
      <c r="AZ185" s="18">
        <v>3.473E-3</v>
      </c>
      <c r="BA185" s="18">
        <v>0.19589999999999999</v>
      </c>
      <c r="BB185" s="18">
        <v>0.85770000000000002</v>
      </c>
      <c r="BC185" s="18">
        <v>5.706E-2</v>
      </c>
      <c r="BD185" s="18">
        <v>0.64059999999999995</v>
      </c>
      <c r="BE185" s="18">
        <v>8.1989999999999993E-2</v>
      </c>
      <c r="BF185" s="13"/>
      <c r="BG185" t="s">
        <v>1125</v>
      </c>
      <c r="BH185" t="s">
        <v>1126</v>
      </c>
      <c r="BI185" t="s">
        <v>1113</v>
      </c>
      <c r="BJ185" t="s">
        <v>1127</v>
      </c>
      <c r="BK185" t="s">
        <v>1115</v>
      </c>
      <c r="BL185" t="s">
        <v>1116</v>
      </c>
      <c r="BM185" t="s">
        <v>1117</v>
      </c>
      <c r="BN185" s="13"/>
      <c r="BO185" t="s">
        <v>973</v>
      </c>
      <c r="BP185">
        <v>1</v>
      </c>
      <c r="BQ185" t="s">
        <v>973</v>
      </c>
      <c r="BR185" t="s">
        <v>973</v>
      </c>
    </row>
    <row r="186" spans="1:70" x14ac:dyDescent="0.25">
      <c r="A186" t="s">
        <v>689</v>
      </c>
      <c r="B186" t="s">
        <v>634</v>
      </c>
      <c r="C186" t="s">
        <v>635</v>
      </c>
      <c r="D186" s="6"/>
      <c r="E186" s="9" t="str">
        <f>HYPERLINK("http://plants.ensembl.org/Triticum_aestivum/Gene/Summary?g=TRIAE_CS42_5BL_TGACv1_404577_AA1304800","TRIAE_CS42_5BL_TGACv1_404577_AA1304800")</f>
        <v>TRIAE_CS42_5BL_TGACv1_404577_AA1304800</v>
      </c>
      <c r="F186" s="9" t="str">
        <f>HYPERLINK("http://mar2016-plants.ensembl.org/Triticum_aestivum/Gene/Summary?db=core;g=Traes_5BL_553A52826","Traes_5BL_553A52826")</f>
        <v>Traes_5BL_553A52826</v>
      </c>
      <c r="H186" s="8" t="str">
        <f>HYPERLINK("http://plants.ensembl.org/Brachypodium_distachyon/Gene/Summary?g=Bradi3g38150","Bradi3g38150")</f>
        <v>Bradi3g38150</v>
      </c>
      <c r="I186" s="8" t="str">
        <f>HYPERLINK("http://plants.ensembl.org/Arabidopsis_thaliana/Gene/Summary?g=AT3G19270","AT3G19270")</f>
        <v>AT3G19270</v>
      </c>
      <c r="J186" s="9" t="str">
        <f>HYPERLINK("http://plants.ensembl.org/Oryza_sativa/Gene/Summary?db=otherfeatures;g=LOC_Os08g36860","LOC_Os08g36860")</f>
        <v>LOC_Os08g36860</v>
      </c>
      <c r="L186" s="6"/>
      <c r="M186" s="1" t="s">
        <v>973</v>
      </c>
      <c r="N186" s="1" t="s">
        <v>973</v>
      </c>
      <c r="O186" s="1" t="s">
        <v>973</v>
      </c>
      <c r="P186" s="1" t="s">
        <v>973</v>
      </c>
      <c r="Q186" s="1" t="s">
        <v>973</v>
      </c>
      <c r="R186" s="1" t="s">
        <v>973</v>
      </c>
      <c r="S186" s="1">
        <v>1</v>
      </c>
      <c r="T186" s="6"/>
      <c r="U186" s="11">
        <v>5.7194235045340589</v>
      </c>
      <c r="V186" s="11">
        <v>8.7617425818384174</v>
      </c>
      <c r="W186" s="11">
        <v>5.713782865080935</v>
      </c>
      <c r="X186" s="11">
        <v>6.074872171784258</v>
      </c>
      <c r="Y186" s="11">
        <v>5.3923059727726814</v>
      </c>
      <c r="Z186" s="11">
        <v>5.8789435436366109</v>
      </c>
      <c r="AA186" s="11">
        <v>5.8147409587318286</v>
      </c>
      <c r="AB186" s="11">
        <v>5.9139401453558484</v>
      </c>
      <c r="AC186" s="11">
        <v>5.5087022484501631</v>
      </c>
      <c r="AD186" s="11">
        <v>6.230199810448684</v>
      </c>
      <c r="AE186" s="11">
        <v>6.6170594245809253</v>
      </c>
      <c r="AF186" s="11">
        <v>5.4573710284895514</v>
      </c>
      <c r="AG186" s="11">
        <v>5.8760838684194496</v>
      </c>
      <c r="AH186" s="11">
        <v>5.5157439856535344</v>
      </c>
      <c r="AI186" s="11">
        <v>6.3671159153305883</v>
      </c>
      <c r="AJ186" s="11">
        <v>5.6777055493129298</v>
      </c>
      <c r="AK186" s="6"/>
      <c r="AL186" t="s">
        <v>1108</v>
      </c>
      <c r="AM186">
        <v>0</v>
      </c>
      <c r="AN186" s="6"/>
      <c r="AO186" s="20">
        <v>0.19950000000000001</v>
      </c>
      <c r="AP186" s="20">
        <v>2.5878999999999999</v>
      </c>
      <c r="AQ186" s="20">
        <v>-0.9083</v>
      </c>
      <c r="AR186" s="20">
        <v>0.6159</v>
      </c>
      <c r="AS186" s="20">
        <v>-0.48599999999999999</v>
      </c>
      <c r="AT186" s="20">
        <v>0.37680000000000002</v>
      </c>
      <c r="AU186" s="20">
        <v>-0.56100000000000005</v>
      </c>
      <c r="AV186" s="20">
        <v>0.23780000000000001</v>
      </c>
      <c r="AW186" s="6"/>
      <c r="AX186" s="18">
        <v>0.6502</v>
      </c>
      <c r="AY186" s="18">
        <v>1.39E-9</v>
      </c>
      <c r="AZ186" s="18">
        <v>2.5999999999999999E-2</v>
      </c>
      <c r="BA186" s="18">
        <v>0.13950000000000001</v>
      </c>
      <c r="BB186" s="18">
        <v>0.24160000000000001</v>
      </c>
      <c r="BC186" s="18">
        <v>0.36599999999999999</v>
      </c>
      <c r="BD186" s="18">
        <v>0.16789999999999999</v>
      </c>
      <c r="BE186" s="18">
        <v>0.56669999999999998</v>
      </c>
      <c r="BF186" s="13"/>
      <c r="BG186" t="s">
        <v>1125</v>
      </c>
      <c r="BH186" t="s">
        <v>1126</v>
      </c>
      <c r="BI186" t="s">
        <v>1113</v>
      </c>
      <c r="BJ186" t="s">
        <v>1127</v>
      </c>
      <c r="BK186" t="s">
        <v>1115</v>
      </c>
      <c r="BL186" t="s">
        <v>1116</v>
      </c>
      <c r="BM186" t="s">
        <v>1117</v>
      </c>
      <c r="BN186" s="13"/>
      <c r="BO186" t="s">
        <v>973</v>
      </c>
      <c r="BP186">
        <v>1</v>
      </c>
      <c r="BQ186" t="s">
        <v>973</v>
      </c>
      <c r="BR186" t="s">
        <v>973</v>
      </c>
    </row>
    <row r="187" spans="1:70" x14ac:dyDescent="0.25">
      <c r="A187" t="s">
        <v>784</v>
      </c>
      <c r="B187" t="s">
        <v>785</v>
      </c>
      <c r="C187" t="s">
        <v>635</v>
      </c>
      <c r="D187" s="6"/>
      <c r="E187" s="9" t="str">
        <f>HYPERLINK("http://plants.ensembl.org/Triticum_aestivum/Gene/Summary?g=TRIAE_CS42_6AL_TGACv1_470861_AA1496950","TRIAE_CS42_6AL_TGACv1_470861_AA1496950")</f>
        <v>TRIAE_CS42_6AL_TGACv1_470861_AA1496950</v>
      </c>
      <c r="F187" s="9" t="str">
        <f>HYPERLINK("http://mar2016-plants.ensembl.org/Triticum_aestivum/Gene/Summary?db=core;g=Traes_6AL_077524EE1","Traes_6AL_077524EE1")</f>
        <v>Traes_6AL_077524EE1</v>
      </c>
      <c r="H187" s="8" t="str">
        <f>HYPERLINK("http://plants.ensembl.org/Brachypodium_distachyon/Gene/Summary?g=Bradi3g52660","Bradi3g52660")</f>
        <v>Bradi3g52660</v>
      </c>
      <c r="I187" s="8" t="str">
        <f>HYPERLINK("http://plants.ensembl.org/Arabidopsis_thaliana/Gene/Summary?g=AT4G19230","AT4G19230")</f>
        <v>AT4G19230</v>
      </c>
      <c r="J187" s="9" t="str">
        <f>HYPERLINK("http://plants.ensembl.org/Oryza_sativa/Gene/Summary?db=otherfeatures;g=LOC_Os02g47470","LOC_Os02g47470")</f>
        <v>LOC_Os02g47470</v>
      </c>
      <c r="L187" s="6"/>
      <c r="M187" s="1" t="s">
        <v>973</v>
      </c>
      <c r="N187" s="1" t="s">
        <v>973</v>
      </c>
      <c r="O187" s="1" t="s">
        <v>973</v>
      </c>
      <c r="P187" s="1" t="s">
        <v>973</v>
      </c>
      <c r="Q187" s="1" t="s">
        <v>973</v>
      </c>
      <c r="R187" s="1" t="s">
        <v>973</v>
      </c>
      <c r="S187" s="1">
        <v>1</v>
      </c>
      <c r="T187" s="6"/>
      <c r="U187" s="11">
        <v>10.803342056895344</v>
      </c>
      <c r="V187" s="11">
        <v>11.289609391467042</v>
      </c>
      <c r="W187" s="11">
        <v>8.390030198529109</v>
      </c>
      <c r="X187" s="11">
        <v>9.1518989733173086</v>
      </c>
      <c r="Y187" s="11">
        <v>8.6553597004390195</v>
      </c>
      <c r="Z187" s="11">
        <v>8.5600166168586611</v>
      </c>
      <c r="AA187" s="11">
        <v>8.5413706691010205</v>
      </c>
      <c r="AB187" s="11">
        <v>8.1248361047409592</v>
      </c>
      <c r="AC187" s="11">
        <v>6.7020853936130447</v>
      </c>
      <c r="AD187" s="11">
        <v>5.4185396702548516</v>
      </c>
      <c r="AE187" s="11">
        <v>6.1246031638892413</v>
      </c>
      <c r="AF187" s="11">
        <v>6.0150373467391818</v>
      </c>
      <c r="AG187" s="11">
        <v>6.8713027828583808</v>
      </c>
      <c r="AH187" s="11">
        <v>5.5511078627929642</v>
      </c>
      <c r="AI187" s="11">
        <v>6.3975987709328264</v>
      </c>
      <c r="AJ187" s="11">
        <v>5.688006866595277</v>
      </c>
      <c r="AK187" s="6"/>
      <c r="AL187" t="s">
        <v>1077</v>
      </c>
      <c r="AM187">
        <v>484</v>
      </c>
      <c r="AN187" s="6"/>
      <c r="AO187" s="20">
        <v>4.0651000000000002</v>
      </c>
      <c r="AP187" s="20">
        <v>5.8628</v>
      </c>
      <c r="AQ187" s="20">
        <v>2.2490000000000001</v>
      </c>
      <c r="AR187" s="20">
        <v>3.0952000000000002</v>
      </c>
      <c r="AS187" s="20">
        <v>1.7656000000000001</v>
      </c>
      <c r="AT187" s="20">
        <v>2.9912000000000001</v>
      </c>
      <c r="AU187" s="20">
        <v>2.1254</v>
      </c>
      <c r="AV187" s="20">
        <v>2.4238</v>
      </c>
      <c r="AW187" s="6"/>
      <c r="AX187" s="18">
        <v>2.2759999999999999E-14</v>
      </c>
      <c r="AY187" s="18">
        <v>2.8299999999999998E-25</v>
      </c>
      <c r="AZ187" s="18">
        <v>2.58E-5</v>
      </c>
      <c r="BA187" s="18">
        <v>7.4630000000000004E-9</v>
      </c>
      <c r="BB187" s="18">
        <v>8.7020000000000001E-4</v>
      </c>
      <c r="BC187" s="18">
        <v>2.8889999999999999E-8</v>
      </c>
      <c r="BD187" s="18">
        <v>6.6240000000000003E-5</v>
      </c>
      <c r="BE187" s="18">
        <v>6.4489999999999996E-6</v>
      </c>
      <c r="BF187" s="13"/>
      <c r="BG187" t="s">
        <v>1131</v>
      </c>
      <c r="BH187" t="s">
        <v>1132</v>
      </c>
      <c r="BI187" t="s">
        <v>1113</v>
      </c>
      <c r="BJ187" t="s">
        <v>1114</v>
      </c>
      <c r="BK187" t="s">
        <v>1115</v>
      </c>
      <c r="BL187" t="s">
        <v>1116</v>
      </c>
      <c r="BM187" t="s">
        <v>1117</v>
      </c>
      <c r="BN187" s="13"/>
      <c r="BO187" t="s">
        <v>973</v>
      </c>
      <c r="BP187" t="s">
        <v>973</v>
      </c>
      <c r="BQ187" t="s">
        <v>973</v>
      </c>
      <c r="BR187" t="s">
        <v>973</v>
      </c>
    </row>
    <row r="188" spans="1:70" x14ac:dyDescent="0.25">
      <c r="A188" t="s">
        <v>817</v>
      </c>
      <c r="B188" t="s">
        <v>785</v>
      </c>
      <c r="C188" t="s">
        <v>635</v>
      </c>
      <c r="D188" s="6"/>
      <c r="E188" s="9" t="str">
        <f>HYPERLINK("http://plants.ensembl.org/Triticum_aestivum/Gene/Summary?g=TRIAE_CS42_6BL_TGACv1_500027_AA1597560","TRIAE_CS42_6BL_TGACv1_500027_AA1597560")</f>
        <v>TRIAE_CS42_6BL_TGACv1_500027_AA1597560</v>
      </c>
      <c r="F188" s="9" t="str">
        <f>HYPERLINK("http://mar2016-plants.ensembl.org/Triticum_aestivum/Gene/Summary?db=core;g=Traes_6BL_7849FEFB6","Traes_6BL_7849FEFB6")</f>
        <v>Traes_6BL_7849FEFB6</v>
      </c>
      <c r="H188" s="8" t="str">
        <f>HYPERLINK("http://plants.ensembl.org/Brachypodium_distachyon/Gene/Summary?g=Bradi3g52660","Bradi3g52660")</f>
        <v>Bradi3g52660</v>
      </c>
      <c r="I188" s="8" t="str">
        <f>HYPERLINK("http://plants.ensembl.org/Arabidopsis_thaliana/Gene/Summary?g=AT4G19230","AT4G19230")</f>
        <v>AT4G19230</v>
      </c>
      <c r="J188" s="9" t="str">
        <f>HYPERLINK("http://plants.ensembl.org/Oryza_sativa/Gene/Summary?db=otherfeatures;g=LOC_Os02g47470","LOC_Os02g47470")</f>
        <v>LOC_Os02g47470</v>
      </c>
      <c r="L188" s="6"/>
      <c r="M188" s="1" t="s">
        <v>973</v>
      </c>
      <c r="N188" s="1" t="s">
        <v>973</v>
      </c>
      <c r="O188" s="1" t="s">
        <v>973</v>
      </c>
      <c r="P188" s="1" t="s">
        <v>973</v>
      </c>
      <c r="Q188" s="1" t="s">
        <v>973</v>
      </c>
      <c r="R188" s="1" t="s">
        <v>973</v>
      </c>
      <c r="S188" s="1">
        <v>1</v>
      </c>
      <c r="T188" s="6"/>
      <c r="U188" s="11">
        <v>10.798315183369319</v>
      </c>
      <c r="V188" s="11">
        <v>11.830122168912844</v>
      </c>
      <c r="W188" s="11">
        <v>8.509811813360459</v>
      </c>
      <c r="X188" s="11">
        <v>9.8636509169767486</v>
      </c>
      <c r="Y188" s="11">
        <v>8.5440694396777488</v>
      </c>
      <c r="Z188" s="11">
        <v>8.9831224420925082</v>
      </c>
      <c r="AA188" s="11">
        <v>8.4438868812506289</v>
      </c>
      <c r="AB188" s="11">
        <v>8.6990933839641773</v>
      </c>
      <c r="AC188" s="11">
        <v>5.9365460746793577</v>
      </c>
      <c r="AD188" s="11">
        <v>4.2298186124579935</v>
      </c>
      <c r="AE188" s="11">
        <v>5.7475807486522257</v>
      </c>
      <c r="AF188" s="11">
        <v>5.7974375935597839</v>
      </c>
      <c r="AG188" s="11">
        <v>6.6535368227941101</v>
      </c>
      <c r="AH188" s="11">
        <v>4.9596913425970444</v>
      </c>
      <c r="AI188" s="11">
        <v>6.0461745301011387</v>
      </c>
      <c r="AJ188" s="11">
        <v>5.9611857308579079</v>
      </c>
      <c r="AK188" s="6"/>
      <c r="AL188" t="s">
        <v>1077</v>
      </c>
      <c r="AM188">
        <v>402</v>
      </c>
      <c r="AN188" s="6"/>
      <c r="AO188" s="20">
        <v>4.7995000000000001</v>
      </c>
      <c r="AP188" s="20">
        <v>7.2526000000000002</v>
      </c>
      <c r="AQ188" s="20">
        <v>2.7273999999999998</v>
      </c>
      <c r="AR188" s="20">
        <v>3.9946000000000002</v>
      </c>
      <c r="AS188" s="20">
        <v>1.8620000000000001</v>
      </c>
      <c r="AT188" s="20">
        <v>3.9851000000000001</v>
      </c>
      <c r="AU188" s="20">
        <v>2.3664000000000001</v>
      </c>
      <c r="AV188" s="20">
        <v>2.7033999999999998</v>
      </c>
      <c r="AW188" s="6"/>
      <c r="AX188" s="18">
        <v>1.7369999999999999E-14</v>
      </c>
      <c r="AY188" s="18">
        <v>3.2010000000000001E-27</v>
      </c>
      <c r="AZ188" s="18">
        <v>1.3149999999999999E-5</v>
      </c>
      <c r="BA188" s="18">
        <v>1.7480000000000001E-10</v>
      </c>
      <c r="BB188" s="18">
        <v>2.7239999999999999E-3</v>
      </c>
      <c r="BC188" s="18">
        <v>3.022E-10</v>
      </c>
      <c r="BD188" s="18">
        <v>1.4980000000000001E-4</v>
      </c>
      <c r="BE188" s="18">
        <v>1.508E-5</v>
      </c>
      <c r="BF188" s="13"/>
      <c r="BG188" t="s">
        <v>1131</v>
      </c>
      <c r="BH188" t="s">
        <v>1132</v>
      </c>
      <c r="BI188" t="s">
        <v>1113</v>
      </c>
      <c r="BJ188" t="s">
        <v>1114</v>
      </c>
      <c r="BK188" t="s">
        <v>1208</v>
      </c>
      <c r="BL188" t="s">
        <v>1116</v>
      </c>
      <c r="BM188" t="s">
        <v>1117</v>
      </c>
      <c r="BN188" s="13"/>
      <c r="BO188" t="s">
        <v>973</v>
      </c>
      <c r="BP188" t="s">
        <v>973</v>
      </c>
      <c r="BQ188" t="s">
        <v>973</v>
      </c>
      <c r="BR188" t="s">
        <v>973</v>
      </c>
    </row>
    <row r="189" spans="1:70" x14ac:dyDescent="0.25">
      <c r="A189" t="s">
        <v>833</v>
      </c>
      <c r="B189" t="s">
        <v>785</v>
      </c>
      <c r="C189" t="s">
        <v>635</v>
      </c>
      <c r="D189" s="6"/>
      <c r="E189" s="9" t="str">
        <f>HYPERLINK("http://plants.ensembl.org/Triticum_aestivum/Gene/Summary?g=TRIAE_CS42_6DL_TGACv1_526851_AA1693450","TRIAE_CS42_6DL_TGACv1_526851_AA1693450")</f>
        <v>TRIAE_CS42_6DL_TGACv1_526851_AA1693450</v>
      </c>
      <c r="F189" s="9" t="str">
        <f>HYPERLINK("http://mar2016-plants.ensembl.org/Triticum_aestivum/Gene/Summary?db=core;g=Traes_6DL_BC3D89A7A","Traes_6DL_BC3D89A7A")</f>
        <v>Traes_6DL_BC3D89A7A</v>
      </c>
      <c r="H189" s="8" t="str">
        <f>HYPERLINK("http://plants.ensembl.org/Brachypodium_distachyon/Gene/Summary?g=Bradi3g52660","Bradi3g52660")</f>
        <v>Bradi3g52660</v>
      </c>
      <c r="I189" s="8" t="str">
        <f>HYPERLINK("http://plants.ensembl.org/Arabidopsis_thaliana/Gene/Summary?g=AT4G19230","AT4G19230")</f>
        <v>AT4G19230</v>
      </c>
      <c r="J189" s="9" t="str">
        <f>HYPERLINK("http://plants.ensembl.org/Oryza_sativa/Gene/Summary?db=otherfeatures;g=LOC_Os02g47470","LOC_Os02g47470")</f>
        <v>LOC_Os02g47470</v>
      </c>
      <c r="L189" s="6"/>
      <c r="M189" s="1" t="s">
        <v>973</v>
      </c>
      <c r="N189" s="1" t="s">
        <v>973</v>
      </c>
      <c r="O189" s="1" t="s">
        <v>973</v>
      </c>
      <c r="P189" s="1" t="s">
        <v>973</v>
      </c>
      <c r="Q189" s="1" t="s">
        <v>973</v>
      </c>
      <c r="R189" s="1" t="s">
        <v>973</v>
      </c>
      <c r="S189" s="1">
        <v>1</v>
      </c>
      <c r="T189" s="6"/>
      <c r="U189" s="11">
        <v>10.73589106256321</v>
      </c>
      <c r="V189" s="11">
        <v>11.417088869112979</v>
      </c>
      <c r="W189" s="11">
        <v>8.5873943716459014</v>
      </c>
      <c r="X189" s="11">
        <v>9.4205718772147851</v>
      </c>
      <c r="Y189" s="11">
        <v>8.75135481150404</v>
      </c>
      <c r="Z189" s="11">
        <v>8.5640160774066363</v>
      </c>
      <c r="AA189" s="11">
        <v>8.446159440335645</v>
      </c>
      <c r="AB189" s="11">
        <v>8.5814865813645174</v>
      </c>
      <c r="AC189" s="11">
        <v>6.0091440960721094</v>
      </c>
      <c r="AD189" s="11">
        <v>4.9427381252876783</v>
      </c>
      <c r="AE189" s="11">
        <v>5.9944884592525849</v>
      </c>
      <c r="AF189" s="11">
        <v>6.128406141528127</v>
      </c>
      <c r="AG189" s="11">
        <v>6.346221766563124</v>
      </c>
      <c r="AH189" s="11">
        <v>5.3642210535806853</v>
      </c>
      <c r="AI189" s="11">
        <v>5.9166103980424296</v>
      </c>
      <c r="AJ189" s="11">
        <v>5.8386425608775214</v>
      </c>
      <c r="AK189" s="6"/>
      <c r="AL189" t="s">
        <v>1077</v>
      </c>
      <c r="AM189">
        <v>2346</v>
      </c>
      <c r="AN189" s="6"/>
      <c r="AO189" s="20">
        <v>4.7073</v>
      </c>
      <c r="AP189" s="20">
        <v>6.4676</v>
      </c>
      <c r="AQ189" s="20">
        <v>2.5792000000000002</v>
      </c>
      <c r="AR189" s="20">
        <v>3.2561</v>
      </c>
      <c r="AS189" s="20">
        <v>2.3875000000000002</v>
      </c>
      <c r="AT189" s="20">
        <v>3.1918000000000002</v>
      </c>
      <c r="AU189" s="20">
        <v>2.5169000000000001</v>
      </c>
      <c r="AV189" s="20">
        <v>2.73</v>
      </c>
      <c r="AW189" s="6"/>
      <c r="AX189" s="18">
        <v>3.5790000000000001E-21</v>
      </c>
      <c r="AY189" s="18">
        <v>3.2700000000000003E-33</v>
      </c>
      <c r="AZ189" s="18">
        <v>2.146E-7</v>
      </c>
      <c r="BA189" s="18">
        <v>5.691E-11</v>
      </c>
      <c r="BB189" s="18">
        <v>1.311E-6</v>
      </c>
      <c r="BC189" s="18">
        <v>2.3319999999999998E-10</v>
      </c>
      <c r="BD189" s="18">
        <v>4.186E-7</v>
      </c>
      <c r="BE189" s="18">
        <v>4.2640000000000003E-8</v>
      </c>
      <c r="BF189" s="13"/>
      <c r="BG189" t="s">
        <v>1131</v>
      </c>
      <c r="BH189" t="s">
        <v>1132</v>
      </c>
      <c r="BI189" t="s">
        <v>1113</v>
      </c>
      <c r="BJ189" t="s">
        <v>1114</v>
      </c>
      <c r="BK189" t="s">
        <v>1115</v>
      </c>
      <c r="BL189" t="s">
        <v>1116</v>
      </c>
      <c r="BM189" t="s">
        <v>1117</v>
      </c>
      <c r="BN189" s="13"/>
      <c r="BO189" t="s">
        <v>973</v>
      </c>
      <c r="BP189" t="s">
        <v>973</v>
      </c>
      <c r="BQ189" t="s">
        <v>973</v>
      </c>
      <c r="BR189" t="s">
        <v>973</v>
      </c>
    </row>
    <row r="190" spans="1:70" x14ac:dyDescent="0.25">
      <c r="A190" t="s">
        <v>268</v>
      </c>
      <c r="B190" t="s">
        <v>269</v>
      </c>
      <c r="C190" t="s">
        <v>270</v>
      </c>
      <c r="D190" s="6"/>
      <c r="E190" s="9" t="str">
        <f>HYPERLINK("http://plants.ensembl.org/Triticum_aestivum/Gene/Summary?g=TRIAE_CS42_2DL_TGACv1_158427_AA0518460","TRIAE_CS42_2DL_TGACv1_158427_AA0518460")</f>
        <v>TRIAE_CS42_2DL_TGACv1_158427_AA0518460</v>
      </c>
      <c r="F190" s="9" t="str">
        <f>HYPERLINK("http://mar2016-plants.ensembl.org/Triticum_aestivum/Gene/Summary?db=core;g=Traes_2DL_C141AAB8D","Traes_2DL_C141AAB8D")</f>
        <v>Traes_2DL_C141AAB8D</v>
      </c>
      <c r="H190" s="8" t="str">
        <f>HYPERLINK("http://plants.ensembl.org/Brachypodium_distachyon/Gene/Summary?g=Bradi5g16083","Bradi5g16083")</f>
        <v>Bradi5g16083</v>
      </c>
      <c r="I190" s="1" t="s">
        <v>1051</v>
      </c>
      <c r="J190" s="9" t="str">
        <f>HYPERLINK("http://plants.ensembl.org/Oryza_sativa/Gene/Summary?db=otherfeatures;g=LOC_Os04g44230","LOC_Os04g44230")</f>
        <v>LOC_Os04g44230</v>
      </c>
      <c r="L190" s="6"/>
      <c r="M190" s="1" t="s">
        <v>973</v>
      </c>
      <c r="N190" s="1" t="s">
        <v>973</v>
      </c>
      <c r="O190" s="1" t="s">
        <v>973</v>
      </c>
      <c r="P190" s="1" t="s">
        <v>973</v>
      </c>
      <c r="Q190" s="1">
        <v>1</v>
      </c>
      <c r="R190" s="1" t="s">
        <v>973</v>
      </c>
      <c r="S190" s="1"/>
      <c r="T190" s="6"/>
      <c r="U190" s="11">
        <v>5.3205292049552719</v>
      </c>
      <c r="V190" s="11">
        <v>7.6622582037822626</v>
      </c>
      <c r="W190" s="11">
        <v>4.6599987457177185</v>
      </c>
      <c r="X190" s="11">
        <v>4.8927520592922757</v>
      </c>
      <c r="Y190" s="11">
        <v>4.2488535782387409</v>
      </c>
      <c r="Z190" s="11">
        <v>3.8498525146435365</v>
      </c>
      <c r="AA190" s="11">
        <v>5.1141712649422253</v>
      </c>
      <c r="AB190" s="11">
        <v>4.7793893084257135</v>
      </c>
      <c r="AC190" s="11">
        <v>3.8529476665059956</v>
      </c>
      <c r="AD190" s="11">
        <v>2.0395829516149155</v>
      </c>
      <c r="AE190" s="11">
        <v>3.4226591069947112</v>
      </c>
      <c r="AF190" s="11">
        <v>2.1003497650186764</v>
      </c>
      <c r="AG190" s="11">
        <v>3.7932994037030516</v>
      </c>
      <c r="AH190" s="11">
        <v>1.8932457030953245</v>
      </c>
      <c r="AI190" s="11">
        <v>3.9410750021205772</v>
      </c>
      <c r="AJ190" s="11">
        <v>2.8812534807447854</v>
      </c>
      <c r="AK190" s="6"/>
      <c r="AL190" t="s">
        <v>1077</v>
      </c>
      <c r="AM190">
        <v>0</v>
      </c>
      <c r="AN190" s="6"/>
      <c r="AO190" s="20">
        <v>1.6389</v>
      </c>
      <c r="AP190" s="20">
        <v>7.2347999999999999</v>
      </c>
      <c r="AQ190" s="20">
        <v>1.2806</v>
      </c>
      <c r="AR190" s="20">
        <v>3.0044</v>
      </c>
      <c r="AS190" s="20">
        <v>0.48730000000000001</v>
      </c>
      <c r="AT190" s="20">
        <v>2.2583000000000002</v>
      </c>
      <c r="AU190" s="20">
        <v>1.2177</v>
      </c>
      <c r="AV190" s="20">
        <v>2.0173000000000001</v>
      </c>
      <c r="AW190" s="6"/>
      <c r="AX190" s="18">
        <v>1.2689999999999999E-3</v>
      </c>
      <c r="AY190" s="18">
        <v>7.2680000000000005E-17</v>
      </c>
      <c r="AZ190" s="18">
        <v>1.059E-2</v>
      </c>
      <c r="BA190" s="18">
        <v>3.9840000000000002E-7</v>
      </c>
      <c r="BB190" s="18">
        <v>0.31830000000000003</v>
      </c>
      <c r="BC190" s="18">
        <v>4.7839999999999997E-4</v>
      </c>
      <c r="BD190" s="18">
        <v>1.034E-2</v>
      </c>
      <c r="BE190" s="18">
        <v>1.348E-4</v>
      </c>
      <c r="BF190" s="13"/>
      <c r="BG190" t="s">
        <v>1125</v>
      </c>
      <c r="BH190" t="s">
        <v>1126</v>
      </c>
      <c r="BI190" t="s">
        <v>1113</v>
      </c>
      <c r="BJ190" t="s">
        <v>1127</v>
      </c>
      <c r="BK190" t="s">
        <v>1115</v>
      </c>
      <c r="BL190" t="s">
        <v>1116</v>
      </c>
      <c r="BM190" t="s">
        <v>1117</v>
      </c>
      <c r="BN190" s="13"/>
      <c r="BO190" t="s">
        <v>973</v>
      </c>
      <c r="BP190">
        <v>1</v>
      </c>
      <c r="BQ190" t="s">
        <v>973</v>
      </c>
      <c r="BR190" t="s">
        <v>973</v>
      </c>
    </row>
    <row r="191" spans="1:70" x14ac:dyDescent="0.25">
      <c r="A191" t="s">
        <v>293</v>
      </c>
      <c r="B191" t="s">
        <v>294</v>
      </c>
      <c r="C191" t="s">
        <v>270</v>
      </c>
      <c r="D191" s="6"/>
      <c r="E191" s="9" t="str">
        <f>HYPERLINK("http://plants.ensembl.org/Triticum_aestivum/Gene/Summary?g=TRIAE_CS42_3AS_TGACv1_212734_AA0702920","TRIAE_CS42_3AS_TGACv1_212734_AA0702920")</f>
        <v>TRIAE_CS42_3AS_TGACv1_212734_AA0702920</v>
      </c>
      <c r="F191" s="9" t="str">
        <f>HYPERLINK("http://mar2016-plants.ensembl.org/Triticum_aestivum/Gene/Summary?db=core;g=Traes_3AS_BEB2E9AA9","Traes_3AS_BEB2E9AA9")</f>
        <v>Traes_3AS_BEB2E9AA9</v>
      </c>
      <c r="H191" s="8" t="str">
        <f>HYPERLINK("http://plants.ensembl.org/Brachypodium_distachyon/Gene/Summary?g=Bradi2g05580","Bradi2g05580")</f>
        <v>Bradi2g05580</v>
      </c>
      <c r="I191" s="1" t="s">
        <v>1051</v>
      </c>
      <c r="J191" s="9" t="str">
        <f>HYPERLINK("http://plants.ensembl.org/Oryza_sativa/Gene/Summary?db=otherfeatures;g=LOC_Os01g09260","LOC_Os01g09260")</f>
        <v>LOC_Os01g09260</v>
      </c>
      <c r="L191" s="6"/>
      <c r="M191" s="1" t="s">
        <v>973</v>
      </c>
      <c r="N191" s="1" t="s">
        <v>973</v>
      </c>
      <c r="O191" s="1" t="s">
        <v>973</v>
      </c>
      <c r="P191" s="1" t="s">
        <v>973</v>
      </c>
      <c r="Q191" s="1">
        <v>1</v>
      </c>
      <c r="R191" s="1" t="s">
        <v>973</v>
      </c>
      <c r="S191" s="1"/>
      <c r="T191" s="6"/>
      <c r="U191" s="11">
        <v>5.9521836661713063</v>
      </c>
      <c r="V191" s="11">
        <v>7.1159678583752388</v>
      </c>
      <c r="W191" s="11">
        <v>5.8773818949784236</v>
      </c>
      <c r="X191" s="11">
        <v>6.9577857808248833</v>
      </c>
      <c r="Y191" s="11">
        <v>5.8241169493931642</v>
      </c>
      <c r="Z191" s="11">
        <v>5.4714053442211039</v>
      </c>
      <c r="AA191" s="11">
        <v>5.9902227413324338</v>
      </c>
      <c r="AB191" s="11">
        <v>5.5924032155165051</v>
      </c>
      <c r="AC191" s="11">
        <v>4.666071054224771</v>
      </c>
      <c r="AD191" s="11">
        <v>6.2455020010908324</v>
      </c>
      <c r="AE191" s="11">
        <v>5.5957542723865119</v>
      </c>
      <c r="AF191" s="11">
        <v>5.6771642997553142</v>
      </c>
      <c r="AG191" s="11">
        <v>5.5885267607228304</v>
      </c>
      <c r="AH191" s="11">
        <v>5.3088110524885677</v>
      </c>
      <c r="AI191" s="11">
        <v>4.7743636312535749</v>
      </c>
      <c r="AJ191" s="11">
        <v>5.7590554951685524</v>
      </c>
      <c r="AK191" s="6"/>
      <c r="AL191" t="s">
        <v>1104</v>
      </c>
      <c r="AM191">
        <v>0</v>
      </c>
      <c r="AN191" s="6"/>
      <c r="AO191" s="20">
        <v>1.4336</v>
      </c>
      <c r="AP191" s="20">
        <v>0.84099999999999997</v>
      </c>
      <c r="AQ191" s="20">
        <v>0.28349999999999997</v>
      </c>
      <c r="AR191" s="20">
        <v>1.2646999999999999</v>
      </c>
      <c r="AS191" s="20">
        <v>0.2389</v>
      </c>
      <c r="AT191" s="20">
        <v>0.16500000000000001</v>
      </c>
      <c r="AU191" s="20">
        <v>1.2386999999999999</v>
      </c>
      <c r="AV191" s="20">
        <v>-0.17</v>
      </c>
      <c r="AW191" s="6"/>
      <c r="AX191" s="18">
        <v>1.6739999999999999E-3</v>
      </c>
      <c r="AY191" s="18">
        <v>6.207E-2</v>
      </c>
      <c r="AZ191" s="18">
        <v>0.50290000000000001</v>
      </c>
      <c r="BA191" s="18">
        <v>2.5460000000000001E-3</v>
      </c>
      <c r="BB191" s="18">
        <v>0.57099999999999995</v>
      </c>
      <c r="BC191" s="18">
        <v>0.70240000000000002</v>
      </c>
      <c r="BD191" s="18">
        <v>4.0419999999999996E-3</v>
      </c>
      <c r="BE191" s="18">
        <v>0.6905</v>
      </c>
      <c r="BF191" s="13"/>
      <c r="BG191" t="s">
        <v>1153</v>
      </c>
      <c r="BH191" t="s">
        <v>1269</v>
      </c>
      <c r="BI191" t="s">
        <v>1113</v>
      </c>
      <c r="BJ191" t="s">
        <v>1316</v>
      </c>
      <c r="BK191" t="s">
        <v>1115</v>
      </c>
      <c r="BL191" t="s">
        <v>1279</v>
      </c>
      <c r="BM191" t="s">
        <v>1117</v>
      </c>
      <c r="BN191" s="13"/>
      <c r="BO191" t="s">
        <v>973</v>
      </c>
      <c r="BP191" t="s">
        <v>973</v>
      </c>
      <c r="BQ191" t="s">
        <v>973</v>
      </c>
      <c r="BR191" t="s">
        <v>973</v>
      </c>
    </row>
    <row r="192" spans="1:70" x14ac:dyDescent="0.25">
      <c r="A192" t="s">
        <v>325</v>
      </c>
      <c r="B192" t="s">
        <v>326</v>
      </c>
      <c r="C192" t="s">
        <v>270</v>
      </c>
      <c r="D192" s="6"/>
      <c r="E192" s="9" t="str">
        <f>HYPERLINK("http://plants.ensembl.org/Triticum_aestivum/Gene/Summary?g=TRIAE_CS42_3AS_TGACv1_210514_AA0674340","TRIAE_CS42_3AS_TGACv1_210514_AA0674340")</f>
        <v>TRIAE_CS42_3AS_TGACv1_210514_AA0674340</v>
      </c>
      <c r="F192" s="9" t="str">
        <f>HYPERLINK("http://mar2016-plants.ensembl.org/Triticum_aestivum/Gene/Summary?db=core;g=Traes_3AS_EDDA9E245","Traes_3AS_EDDA9E245")</f>
        <v>Traes_3AS_EDDA9E245</v>
      </c>
      <c r="H192" s="8" t="str">
        <f>HYPERLINK("http://plants.ensembl.org/Brachypodium_distachyon/Gene/Summary?g=Bradi2g06030","Bradi2g06030")</f>
        <v>Bradi2g06030</v>
      </c>
      <c r="I192" s="1" t="s">
        <v>1051</v>
      </c>
      <c r="J192" s="9" t="str">
        <f>HYPERLINK("http://plants.ensembl.org/Oryza_sativa/Gene/Summary?db=otherfeatures;g=LOC_Os01g10110","LOC_Os01g10110")</f>
        <v>LOC_Os01g10110</v>
      </c>
      <c r="L192" s="6"/>
      <c r="M192" s="1" t="s">
        <v>973</v>
      </c>
      <c r="N192" s="1" t="s">
        <v>973</v>
      </c>
      <c r="O192" s="1" t="s">
        <v>973</v>
      </c>
      <c r="P192" s="1" t="s">
        <v>973</v>
      </c>
      <c r="Q192" s="1">
        <v>1</v>
      </c>
      <c r="R192" s="1" t="s">
        <v>973</v>
      </c>
      <c r="S192" s="1"/>
      <c r="T192" s="6"/>
      <c r="U192" s="11">
        <v>7.3522270900450613</v>
      </c>
      <c r="V192" s="11">
        <v>6.5873464870336473</v>
      </c>
      <c r="W192" s="11">
        <v>8.2095206248434067</v>
      </c>
      <c r="X192" s="11">
        <v>8.0291596567140715</v>
      </c>
      <c r="Y192" s="11">
        <v>7.8332206993367945</v>
      </c>
      <c r="Z192" s="11">
        <v>8.0733086169544865</v>
      </c>
      <c r="AA192" s="11">
        <v>8.9289553368626038</v>
      </c>
      <c r="AB192" s="11">
        <v>8.26749631567432</v>
      </c>
      <c r="AC192" s="11">
        <v>7.4023910551612095</v>
      </c>
      <c r="AD192" s="11">
        <v>8.6563678932781549</v>
      </c>
      <c r="AE192" s="11">
        <v>8.9664138355785976</v>
      </c>
      <c r="AF192" s="11">
        <v>9.1256883786533312</v>
      </c>
      <c r="AG192" s="11">
        <v>7.9791585924776989</v>
      </c>
      <c r="AH192" s="11">
        <v>8.4698363339506866</v>
      </c>
      <c r="AI192" s="11">
        <v>8.3606302796466583</v>
      </c>
      <c r="AJ192" s="11">
        <v>8.713860060502558</v>
      </c>
      <c r="AK192" s="6"/>
      <c r="AL192" t="s">
        <v>1076</v>
      </c>
      <c r="AM192">
        <v>0</v>
      </c>
      <c r="AN192" s="6"/>
      <c r="AO192" s="20">
        <v>-9.0800000000000006E-2</v>
      </c>
      <c r="AP192" s="20">
        <v>-2.1684000000000001</v>
      </c>
      <c r="AQ192" s="20">
        <v>-0.75449999999999995</v>
      </c>
      <c r="AR192" s="20">
        <v>-1.0935999999999999</v>
      </c>
      <c r="AS192" s="20">
        <v>-0.1457</v>
      </c>
      <c r="AT192" s="20">
        <v>-0.39329999999999998</v>
      </c>
      <c r="AU192" s="20">
        <v>0.56779999999999997</v>
      </c>
      <c r="AV192" s="20">
        <v>-0.44569999999999999</v>
      </c>
      <c r="AW192" s="6"/>
      <c r="AX192" s="18">
        <v>0.78490000000000004</v>
      </c>
      <c r="AY192" s="18">
        <v>3.0669999999999999E-9</v>
      </c>
      <c r="AZ192" s="18">
        <v>1.703E-2</v>
      </c>
      <c r="BA192" s="18">
        <v>5.6269999999999996E-4</v>
      </c>
      <c r="BB192" s="18">
        <v>0.6472</v>
      </c>
      <c r="BC192" s="18">
        <v>0.21560000000000001</v>
      </c>
      <c r="BD192" s="18">
        <v>7.2169999999999998E-2</v>
      </c>
      <c r="BE192" s="18">
        <v>0.15989999999999999</v>
      </c>
      <c r="BF192" s="13"/>
      <c r="BG192" t="s">
        <v>1249</v>
      </c>
      <c r="BH192" t="s">
        <v>1159</v>
      </c>
      <c r="BI192" t="s">
        <v>1137</v>
      </c>
      <c r="BJ192" t="s">
        <v>1114</v>
      </c>
      <c r="BK192" t="s">
        <v>1151</v>
      </c>
      <c r="BL192" t="s">
        <v>1226</v>
      </c>
      <c r="BM192" t="s">
        <v>1117</v>
      </c>
      <c r="BN192" s="13"/>
      <c r="BO192" t="s">
        <v>973</v>
      </c>
      <c r="BP192" t="s">
        <v>973</v>
      </c>
      <c r="BQ192" t="s">
        <v>973</v>
      </c>
      <c r="BR192" t="s">
        <v>973</v>
      </c>
    </row>
    <row r="193" spans="1:70" x14ac:dyDescent="0.25">
      <c r="A193" t="s">
        <v>327</v>
      </c>
      <c r="B193" t="s">
        <v>328</v>
      </c>
      <c r="C193" t="s">
        <v>270</v>
      </c>
      <c r="D193" s="6"/>
      <c r="E193" s="9" t="str">
        <f>HYPERLINK("http://plants.ensembl.org/Triticum_aestivum/Gene/Summary?g=TRIAE_CS42_3AS_TGACv1_212905_AA0704020","TRIAE_CS42_3AS_TGACv1_212905_AA0704020")</f>
        <v>TRIAE_CS42_3AS_TGACv1_212905_AA0704020</v>
      </c>
      <c r="F193" s="9" t="str">
        <f>HYPERLINK("http://mar2016-plants.ensembl.org/Triticum_aestivum/Gene/Summary?db=core;g=Traes_3AS_D2C285A5E","Traes_3AS_D2C285A5E")</f>
        <v>Traes_3AS_D2C285A5E</v>
      </c>
      <c r="H193" s="1" t="s">
        <v>1051</v>
      </c>
      <c r="I193" s="1" t="s">
        <v>1051</v>
      </c>
      <c r="J193" s="1" t="s">
        <v>1051</v>
      </c>
      <c r="L193" s="6"/>
      <c r="M193" s="1" t="s">
        <v>973</v>
      </c>
      <c r="N193" s="1" t="s">
        <v>973</v>
      </c>
      <c r="O193" s="1" t="s">
        <v>973</v>
      </c>
      <c r="P193" s="1" t="s">
        <v>973</v>
      </c>
      <c r="Q193" s="1">
        <v>1</v>
      </c>
      <c r="R193" s="1" t="s">
        <v>973</v>
      </c>
      <c r="S193" s="1"/>
      <c r="T193" s="6"/>
      <c r="U193" s="11">
        <v>5.9797502355151799</v>
      </c>
      <c r="V193" s="11">
        <v>6.1035808643291105</v>
      </c>
      <c r="W193" s="11">
        <v>6.4575538005753783</v>
      </c>
      <c r="X193" s="11">
        <v>7.1010841364355688</v>
      </c>
      <c r="Y193" s="11">
        <v>6.1111071465064777</v>
      </c>
      <c r="Z193" s="11">
        <v>6.3487724080014498</v>
      </c>
      <c r="AA193" s="11">
        <v>7.4651767361033352</v>
      </c>
      <c r="AB193" s="11">
        <v>6.6223056723908718</v>
      </c>
      <c r="AC193" s="11">
        <v>5.0922003892649803</v>
      </c>
      <c r="AD193" s="11">
        <v>5.2457225555743401</v>
      </c>
      <c r="AE193" s="11">
        <v>5.5728967404377618</v>
      </c>
      <c r="AF193" s="11">
        <v>5.2837699406616219</v>
      </c>
      <c r="AG193" s="11">
        <v>3.3576176867995491</v>
      </c>
      <c r="AH193" s="11">
        <v>4.1546264119231182</v>
      </c>
      <c r="AI193" s="11">
        <v>5.4373764581179378</v>
      </c>
      <c r="AJ193" s="11">
        <v>5.3633486574159637</v>
      </c>
      <c r="AK193" s="6"/>
      <c r="AL193" t="s">
        <v>1077</v>
      </c>
      <c r="AM193">
        <v>0</v>
      </c>
      <c r="AN193" s="6"/>
      <c r="AO193" s="20">
        <v>0.90620000000000001</v>
      </c>
      <c r="AP193" s="20">
        <v>1.0035000000000001</v>
      </c>
      <c r="AQ193" s="20">
        <v>0.88759999999999994</v>
      </c>
      <c r="AR193" s="20">
        <v>1.7998000000000001</v>
      </c>
      <c r="AS193" s="20">
        <v>2.8292999999999999</v>
      </c>
      <c r="AT193" s="20">
        <v>2.2345000000000002</v>
      </c>
      <c r="AU193" s="20">
        <v>2.0323000000000002</v>
      </c>
      <c r="AV193" s="20">
        <v>1.2643</v>
      </c>
      <c r="AW193" s="6"/>
      <c r="AX193" s="18">
        <v>6.5030000000000004E-2</v>
      </c>
      <c r="AY193" s="18">
        <v>6.2010000000000003E-2</v>
      </c>
      <c r="AZ193" s="18">
        <v>5.5660000000000001E-2</v>
      </c>
      <c r="BA193" s="18">
        <v>1.141E-4</v>
      </c>
      <c r="BB193" s="18">
        <v>1.043E-8</v>
      </c>
      <c r="BC193" s="18">
        <v>4.9429999999999999E-6</v>
      </c>
      <c r="BD193" s="18">
        <v>1.044E-5</v>
      </c>
      <c r="BE193" s="18">
        <v>6.6629999999999997E-3</v>
      </c>
      <c r="BF193" s="13"/>
      <c r="BG193" t="s">
        <v>1161</v>
      </c>
      <c r="BH193" t="s">
        <v>1216</v>
      </c>
      <c r="BI193" t="s">
        <v>1113</v>
      </c>
      <c r="BJ193" t="s">
        <v>1114</v>
      </c>
      <c r="BK193" t="s">
        <v>1115</v>
      </c>
      <c r="BL193" t="s">
        <v>1226</v>
      </c>
      <c r="BM193" t="s">
        <v>1117</v>
      </c>
      <c r="BN193" s="13"/>
      <c r="BO193" t="s">
        <v>973</v>
      </c>
      <c r="BP193" t="s">
        <v>973</v>
      </c>
      <c r="BQ193" t="s">
        <v>973</v>
      </c>
      <c r="BR193" t="s">
        <v>973</v>
      </c>
    </row>
    <row r="194" spans="1:70" x14ac:dyDescent="0.25">
      <c r="A194" t="s">
        <v>329</v>
      </c>
      <c r="B194" t="s">
        <v>330</v>
      </c>
      <c r="C194" t="s">
        <v>270</v>
      </c>
      <c r="D194" s="6"/>
      <c r="E194" s="9" t="str">
        <f>HYPERLINK("http://plants.ensembl.org/Triticum_aestivum/Gene/Summary?g=TRIAE_CS42_U_TGACv1_641487_AA2096190","TRIAE_CS42_U_TGACv1_641487_AA2096190")</f>
        <v>TRIAE_CS42_U_TGACv1_641487_AA2096190</v>
      </c>
      <c r="H194" s="8" t="str">
        <f>HYPERLINK("http://plants.ensembl.org/Brachypodium_distachyon/Gene/Summary?g=Bradi2g51530","Bradi2g51530")</f>
        <v>Bradi2g51530</v>
      </c>
      <c r="I194" s="8" t="str">
        <f>HYPERLINK("http://plants.ensembl.org/Arabidopsis_thaliana/Gene/Summary?g=AT1G75450","AT1G75450")</f>
        <v>AT1G75450</v>
      </c>
      <c r="J194" s="9" t="str">
        <f>HYPERLINK("http://plants.ensembl.org/Oryza_sativa/Gene/Summary?db=otherfeatures;g=LOC_Os01g56810","LOC_Os01g56810")</f>
        <v>LOC_Os01g56810</v>
      </c>
      <c r="L194" s="6"/>
      <c r="M194" s="1" t="s">
        <v>973</v>
      </c>
      <c r="N194" s="1" t="s">
        <v>973</v>
      </c>
      <c r="O194" s="1" t="s">
        <v>973</v>
      </c>
      <c r="P194" s="1" t="s">
        <v>973</v>
      </c>
      <c r="Q194" s="1">
        <v>1</v>
      </c>
      <c r="R194" s="1" t="s">
        <v>973</v>
      </c>
      <c r="S194" s="1"/>
      <c r="T194" s="6"/>
      <c r="U194" s="11">
        <v>6.9743667859969474</v>
      </c>
      <c r="V194" s="11">
        <v>7.6206435893051445</v>
      </c>
      <c r="W194" s="11">
        <v>5.8355788503161783</v>
      </c>
      <c r="X194" s="11">
        <v>5.7910308797188774</v>
      </c>
      <c r="Y194" s="11">
        <v>7.1132306217483778</v>
      </c>
      <c r="Z194" s="11">
        <v>6.282838233326939</v>
      </c>
      <c r="AA194" s="11">
        <v>6.0483786110389666</v>
      </c>
      <c r="AB194" s="11">
        <v>5.3859567082662005</v>
      </c>
      <c r="AC194" s="11">
        <v>4.2029374474551684</v>
      </c>
      <c r="AD194" s="11">
        <v>2.8455301949435121</v>
      </c>
      <c r="AE194" s="11">
        <v>2.776167170414038</v>
      </c>
      <c r="AF194" s="11">
        <v>1.1209490686299957</v>
      </c>
      <c r="AG194" s="11">
        <v>3.2603268134703018</v>
      </c>
      <c r="AH194" s="11">
        <v>0.88304727337167599</v>
      </c>
      <c r="AI194" s="11">
        <v>1.823409702851521</v>
      </c>
      <c r="AJ194" s="11">
        <v>1.9372062685197549</v>
      </c>
      <c r="AK194" s="6"/>
      <c r="AL194" t="s">
        <v>1077</v>
      </c>
      <c r="AM194">
        <v>903</v>
      </c>
      <c r="AN194" s="6"/>
      <c r="AO194" s="20">
        <v>2.8302999999999998</v>
      </c>
      <c r="AP194" s="20">
        <v>6.1166999999999998</v>
      </c>
      <c r="AQ194" s="20">
        <v>3.1726000000000001</v>
      </c>
      <c r="AR194" s="20">
        <v>4.9858000000000002</v>
      </c>
      <c r="AS194" s="20">
        <v>3.8938000000000001</v>
      </c>
      <c r="AT194" s="20">
        <v>6.0557999999999996</v>
      </c>
      <c r="AU194" s="20">
        <v>4.5148999999999999</v>
      </c>
      <c r="AV194" s="20">
        <v>3.7162000000000002</v>
      </c>
      <c r="AW194" s="6"/>
      <c r="AX194" s="18">
        <v>4.7429999999999998E-5</v>
      </c>
      <c r="AY194" s="18">
        <v>6.3820000000000001E-12</v>
      </c>
      <c r="AZ194" s="18">
        <v>1.276E-5</v>
      </c>
      <c r="BA194" s="18">
        <v>8.7440000000000004E-9</v>
      </c>
      <c r="BB194" s="18">
        <v>1.9119999999999998E-8</v>
      </c>
      <c r="BC194" s="18">
        <v>2.01E-10</v>
      </c>
      <c r="BD194" s="18">
        <v>8.5709999999999995E-9</v>
      </c>
      <c r="BE194" s="18">
        <v>1.872E-6</v>
      </c>
      <c r="BF194" s="13"/>
      <c r="BG194" t="s">
        <v>1143</v>
      </c>
      <c r="BH194" t="s">
        <v>1175</v>
      </c>
      <c r="BI194" t="s">
        <v>1113</v>
      </c>
      <c r="BJ194" t="s">
        <v>1114</v>
      </c>
      <c r="BK194" t="s">
        <v>1115</v>
      </c>
      <c r="BL194" t="s">
        <v>1116</v>
      </c>
      <c r="BM194" t="s">
        <v>1117</v>
      </c>
      <c r="BN194" s="13"/>
      <c r="BO194" t="s">
        <v>973</v>
      </c>
      <c r="BP194" t="s">
        <v>973</v>
      </c>
      <c r="BQ194" t="s">
        <v>973</v>
      </c>
      <c r="BR194" t="s">
        <v>973</v>
      </c>
    </row>
    <row r="195" spans="1:70" x14ac:dyDescent="0.25">
      <c r="A195" t="s">
        <v>358</v>
      </c>
      <c r="B195" t="s">
        <v>359</v>
      </c>
      <c r="C195" t="s">
        <v>270</v>
      </c>
      <c r="D195" s="6"/>
      <c r="E195" s="9" t="str">
        <f>HYPERLINK("http://plants.ensembl.org/Triticum_aestivum/Gene/Summary?g=TRIAE_CS42_3AL_TGACv1_194363_AA0631800","TRIAE_CS42_3AL_TGACv1_194363_AA0631800")</f>
        <v>TRIAE_CS42_3AL_TGACv1_194363_AA0631800</v>
      </c>
      <c r="H195" s="8" t="str">
        <f>HYPERLINK("http://plants.ensembl.org/Brachypodium_distachyon/Gene/Summary?g=Bradi2g60456","Bradi2g60456")</f>
        <v>Bradi2g60456</v>
      </c>
      <c r="I195" s="1" t="s">
        <v>1051</v>
      </c>
      <c r="J195" s="9" t="str">
        <f>HYPERLINK("http://plants.ensembl.org/Oryza_sativa/Gene/Summary?db=otherfeatures;g=LOC_Os01g71310","LOC_Os01g71310")</f>
        <v>LOC_Os01g71310</v>
      </c>
      <c r="L195" s="6"/>
      <c r="M195" s="1" t="s">
        <v>973</v>
      </c>
      <c r="N195" s="1" t="s">
        <v>973</v>
      </c>
      <c r="O195" s="1" t="s">
        <v>973</v>
      </c>
      <c r="P195" s="1" t="s">
        <v>973</v>
      </c>
      <c r="Q195" s="1">
        <v>1</v>
      </c>
      <c r="R195" s="1" t="s">
        <v>973</v>
      </c>
      <c r="S195" s="1"/>
      <c r="T195" s="6"/>
      <c r="U195" s="11">
        <v>7.3100510436289241</v>
      </c>
      <c r="V195" s="11">
        <v>7.3614414471691205</v>
      </c>
      <c r="W195" s="11">
        <v>5.5206013956108562</v>
      </c>
      <c r="X195" s="11">
        <v>6.3193740686503963</v>
      </c>
      <c r="Y195" s="11">
        <v>6.2052061163446153</v>
      </c>
      <c r="Z195" s="11">
        <v>5.3170447323924437</v>
      </c>
      <c r="AA195" s="11">
        <v>5.9775623282205306</v>
      </c>
      <c r="AB195" s="11">
        <v>6.1729314887529458</v>
      </c>
      <c r="AC195" s="11">
        <v>4.3154527152952449</v>
      </c>
      <c r="AD195" s="11">
        <v>5.5240584504293118</v>
      </c>
      <c r="AE195" s="11">
        <v>4.6321363502491542</v>
      </c>
      <c r="AF195" s="11">
        <v>5.161772154684833</v>
      </c>
      <c r="AG195" s="11">
        <v>5.255437786965393</v>
      </c>
      <c r="AH195" s="11">
        <v>4.6549033021056703</v>
      </c>
      <c r="AI195" s="11">
        <v>4.6294557108813592</v>
      </c>
      <c r="AJ195" s="11">
        <v>3.9946219605915716</v>
      </c>
      <c r="AK195" s="6"/>
      <c r="AL195" t="s">
        <v>1077</v>
      </c>
      <c r="AM195">
        <v>75</v>
      </c>
      <c r="AN195" s="6"/>
      <c r="AO195" s="20">
        <v>3.0667</v>
      </c>
      <c r="AP195" s="20">
        <v>1.8359000000000001</v>
      </c>
      <c r="AQ195" s="20">
        <v>0.91300000000000003</v>
      </c>
      <c r="AR195" s="20">
        <v>1.1187</v>
      </c>
      <c r="AS195" s="20">
        <v>0.95760000000000001</v>
      </c>
      <c r="AT195" s="20">
        <v>0.66010000000000002</v>
      </c>
      <c r="AU195" s="20">
        <v>1.3784000000000001</v>
      </c>
      <c r="AV195" s="20">
        <v>2.2319</v>
      </c>
      <c r="AW195" s="6"/>
      <c r="AX195" s="18">
        <v>8.4960000000000004E-16</v>
      </c>
      <c r="AY195" s="18">
        <v>3.0149999999999999E-6</v>
      </c>
      <c r="AZ195" s="18">
        <v>1.359E-2</v>
      </c>
      <c r="BA195" s="18">
        <v>1.6789999999999999E-3</v>
      </c>
      <c r="BB195" s="18">
        <v>5.9259999999999998E-3</v>
      </c>
      <c r="BC195" s="18">
        <v>7.9100000000000004E-2</v>
      </c>
      <c r="BD195" s="18">
        <v>1.462E-4</v>
      </c>
      <c r="BE195" s="18">
        <v>5.4379999999999996E-9</v>
      </c>
      <c r="BF195" s="13"/>
      <c r="BG195" t="s">
        <v>1191</v>
      </c>
      <c r="BH195" t="s">
        <v>1192</v>
      </c>
      <c r="BI195" t="s">
        <v>1113</v>
      </c>
      <c r="BJ195" t="s">
        <v>1114</v>
      </c>
      <c r="BK195" t="s">
        <v>1115</v>
      </c>
      <c r="BL195" t="s">
        <v>1116</v>
      </c>
      <c r="BM195" t="s">
        <v>1117</v>
      </c>
      <c r="BN195" s="13"/>
      <c r="BO195" t="s">
        <v>973</v>
      </c>
      <c r="BP195" t="s">
        <v>973</v>
      </c>
      <c r="BQ195" t="s">
        <v>973</v>
      </c>
      <c r="BR195" t="s">
        <v>973</v>
      </c>
    </row>
    <row r="196" spans="1:70" x14ac:dyDescent="0.25">
      <c r="A196" t="s">
        <v>369</v>
      </c>
      <c r="B196" t="s">
        <v>370</v>
      </c>
      <c r="C196" t="s">
        <v>270</v>
      </c>
      <c r="D196" s="6"/>
      <c r="E196" s="9" t="str">
        <f>HYPERLINK("http://plants.ensembl.org/Triticum_aestivum/Gene/Summary?g=TRIAE_CS42_3B_TGACv1_220591_AA0710020","TRIAE_CS42_3B_TGACv1_220591_AA0710020")</f>
        <v>TRIAE_CS42_3B_TGACv1_220591_AA0710020</v>
      </c>
      <c r="F196" s="9" t="str">
        <f>HYPERLINK("http://mar2016-plants.ensembl.org/Triticum_aestivum/Gene/Summary?db=core;g=Traes_3B_747C42E1D","Traes_3B_747C42E1D")</f>
        <v>Traes_3B_747C42E1D</v>
      </c>
      <c r="H196" s="1" t="s">
        <v>1051</v>
      </c>
      <c r="I196" s="1" t="s">
        <v>1051</v>
      </c>
      <c r="J196" s="1" t="s">
        <v>1051</v>
      </c>
      <c r="L196" s="6"/>
      <c r="M196" s="1" t="s">
        <v>973</v>
      </c>
      <c r="N196" s="1" t="s">
        <v>973</v>
      </c>
      <c r="O196" s="1" t="s">
        <v>973</v>
      </c>
      <c r="P196" s="1" t="s">
        <v>973</v>
      </c>
      <c r="Q196" s="1">
        <v>1</v>
      </c>
      <c r="R196" s="1" t="s">
        <v>973</v>
      </c>
      <c r="S196" s="1"/>
      <c r="T196" s="6"/>
      <c r="U196" s="11">
        <v>5.4439138102744886</v>
      </c>
      <c r="V196" s="11">
        <v>3.9566390663395112</v>
      </c>
      <c r="W196" s="11">
        <v>6.1844700754258719</v>
      </c>
      <c r="X196" s="11">
        <v>6.0987788616814527</v>
      </c>
      <c r="Y196" s="11">
        <v>5.4973696607796043</v>
      </c>
      <c r="Z196" s="11">
        <v>5.6123200583931521</v>
      </c>
      <c r="AA196" s="11">
        <v>6.8916289975186791</v>
      </c>
      <c r="AB196" s="11">
        <v>5.7453592549702446</v>
      </c>
      <c r="AC196" s="11">
        <v>5.6647018448731377</v>
      </c>
      <c r="AD196" s="11">
        <v>5.6146911969159392</v>
      </c>
      <c r="AE196" s="11">
        <v>6.2489294588365105</v>
      </c>
      <c r="AF196" s="11">
        <v>6.1179907260684736</v>
      </c>
      <c r="AG196" s="11">
        <v>5.6478852954953318</v>
      </c>
      <c r="AH196" s="11">
        <v>5.5650385920331722</v>
      </c>
      <c r="AI196" s="11">
        <v>6.0388048857046854</v>
      </c>
      <c r="AJ196" s="11">
        <v>5.9457575079726279</v>
      </c>
      <c r="AK196" s="6"/>
      <c r="AL196" t="s">
        <v>1095</v>
      </c>
      <c r="AM196">
        <v>0</v>
      </c>
      <c r="AN196" s="6"/>
      <c r="AO196" s="20">
        <v>-0.19570000000000001</v>
      </c>
      <c r="AP196" s="20">
        <v>-1.9093</v>
      </c>
      <c r="AQ196" s="20">
        <v>-6.0499999999999998E-2</v>
      </c>
      <c r="AR196" s="20">
        <v>-2.7699999999999999E-2</v>
      </c>
      <c r="AS196" s="20">
        <v>-0.1595</v>
      </c>
      <c r="AT196" s="20">
        <v>6.6699999999999995E-2</v>
      </c>
      <c r="AU196" s="20">
        <v>0.8609</v>
      </c>
      <c r="AV196" s="20">
        <v>-0.20369999999999999</v>
      </c>
      <c r="AW196" s="6"/>
      <c r="AX196" s="18">
        <v>0.57969999999999999</v>
      </c>
      <c r="AY196" s="18">
        <v>3.7790000000000002E-4</v>
      </c>
      <c r="AZ196" s="18">
        <v>0.84370000000000001</v>
      </c>
      <c r="BA196" s="18">
        <v>0.92930000000000001</v>
      </c>
      <c r="BB196" s="18">
        <v>0.61609999999999998</v>
      </c>
      <c r="BC196" s="18">
        <v>0.83589999999999998</v>
      </c>
      <c r="BD196" s="18">
        <v>4.4929999999999996E-3</v>
      </c>
      <c r="BE196" s="18">
        <v>0.52100000000000002</v>
      </c>
      <c r="BF196" s="13"/>
      <c r="BG196" t="s">
        <v>1111</v>
      </c>
      <c r="BH196" t="s">
        <v>1216</v>
      </c>
      <c r="BI196" t="s">
        <v>1113</v>
      </c>
      <c r="BJ196" t="s">
        <v>1217</v>
      </c>
      <c r="BK196" t="s">
        <v>1115</v>
      </c>
      <c r="BL196" t="s">
        <v>1226</v>
      </c>
      <c r="BM196" t="s">
        <v>1117</v>
      </c>
      <c r="BN196" s="13"/>
      <c r="BO196" t="s">
        <v>973</v>
      </c>
      <c r="BP196" t="s">
        <v>973</v>
      </c>
      <c r="BQ196" t="s">
        <v>973</v>
      </c>
      <c r="BR196" t="s">
        <v>973</v>
      </c>
    </row>
    <row r="197" spans="1:70" x14ac:dyDescent="0.25">
      <c r="A197" t="s">
        <v>387</v>
      </c>
      <c r="B197" t="s">
        <v>330</v>
      </c>
      <c r="C197" t="s">
        <v>270</v>
      </c>
      <c r="D197" s="6"/>
      <c r="E197" s="9" t="str">
        <f>HYPERLINK("http://plants.ensembl.org/Triticum_aestivum/Gene/Summary?g=TRIAE_CS42_3B_TGACv1_222143_AA0758190","TRIAE_CS42_3B_TGACv1_222143_AA0758190")</f>
        <v>TRIAE_CS42_3B_TGACv1_222143_AA0758190</v>
      </c>
      <c r="F197" s="9" t="str">
        <f>HYPERLINK("http://mar2016-plants.ensembl.org/Triticum_aestivum/Gene/Summary?db=core;g=TRAES3BF028300010CFD","TRAES3BF028300010CFD")</f>
        <v>TRAES3BF028300010CFD</v>
      </c>
      <c r="H197" s="8" t="str">
        <f>HYPERLINK("http://plants.ensembl.org/Brachypodium_distachyon/Gene/Summary?g=Bradi2g51530","Bradi2g51530")</f>
        <v>Bradi2g51530</v>
      </c>
      <c r="I197" s="8" t="str">
        <f>HYPERLINK("http://plants.ensembl.org/Arabidopsis_thaliana/Gene/Summary?g=AT1G75450","AT1G75450")</f>
        <v>AT1G75450</v>
      </c>
      <c r="J197" s="9" t="str">
        <f>HYPERLINK("http://plants.ensembl.org/Oryza_sativa/Gene/Summary?db=otherfeatures;g=LOC_Os01g56810","LOC_Os01g56810")</f>
        <v>LOC_Os01g56810</v>
      </c>
      <c r="L197" s="6"/>
      <c r="M197" s="1" t="s">
        <v>973</v>
      </c>
      <c r="N197" s="1" t="s">
        <v>973</v>
      </c>
      <c r="O197" s="1" t="s">
        <v>973</v>
      </c>
      <c r="P197" s="1" t="s">
        <v>973</v>
      </c>
      <c r="Q197" s="1">
        <v>1</v>
      </c>
      <c r="R197" s="1" t="s">
        <v>973</v>
      </c>
      <c r="S197" s="1"/>
      <c r="T197" s="6"/>
      <c r="U197" s="11">
        <v>6.4095844140278997</v>
      </c>
      <c r="V197" s="11">
        <v>7.0972954535235875</v>
      </c>
      <c r="W197" s="11">
        <v>3.9457013329987713</v>
      </c>
      <c r="X197" s="11">
        <v>4.4102121898732811</v>
      </c>
      <c r="Y197" s="11">
        <v>4.2695643315796579</v>
      </c>
      <c r="Z197" s="11">
        <v>4.0926162114442208</v>
      </c>
      <c r="AA197" s="11">
        <v>4.8901207604921817</v>
      </c>
      <c r="AB197" s="11">
        <v>4.3727153428136774</v>
      </c>
      <c r="AC197" s="11">
        <v>2.785355249851738</v>
      </c>
      <c r="AD197" s="11">
        <v>1.2178717715704253</v>
      </c>
      <c r="AE197" s="11">
        <v>1.6093452265031671</v>
      </c>
      <c r="AF197" s="11">
        <v>0.95855812854797739</v>
      </c>
      <c r="AG197" s="11">
        <v>1.8469946869655733</v>
      </c>
      <c r="AH197" s="11">
        <v>0.41243830823088656</v>
      </c>
      <c r="AI197" s="11">
        <v>1.3690290255135995</v>
      </c>
      <c r="AJ197" s="11">
        <v>1.4609347356155991</v>
      </c>
      <c r="AK197" s="6"/>
      <c r="AL197" t="s">
        <v>1077</v>
      </c>
      <c r="AM197">
        <v>350</v>
      </c>
      <c r="AN197" s="6"/>
      <c r="AO197" s="20">
        <v>3.7774000000000001</v>
      </c>
      <c r="AP197" s="20">
        <v>5.9067999999999996</v>
      </c>
      <c r="AQ197" s="20">
        <v>2.6770999999999998</v>
      </c>
      <c r="AR197" s="20">
        <v>4.0469999999999997</v>
      </c>
      <c r="AS197" s="20">
        <v>2.7063000000000001</v>
      </c>
      <c r="AT197" s="20">
        <v>5.016</v>
      </c>
      <c r="AU197" s="20">
        <v>4.0434000000000001</v>
      </c>
      <c r="AV197" s="20">
        <v>3.3374999999999999</v>
      </c>
      <c r="AW197" s="6"/>
      <c r="AX197" s="18">
        <v>1.2499999999999999E-7</v>
      </c>
      <c r="AY197" s="18">
        <v>7.5719999999999998E-11</v>
      </c>
      <c r="AZ197" s="18">
        <v>8.9019999999999995E-4</v>
      </c>
      <c r="BA197" s="18">
        <v>9.1719999999999996E-6</v>
      </c>
      <c r="BB197" s="18">
        <v>2.5759999999999997E-4</v>
      </c>
      <c r="BC197" s="18">
        <v>1.6820000000000002E-5</v>
      </c>
      <c r="BD197" s="18">
        <v>1.0550000000000001E-6</v>
      </c>
      <c r="BE197" s="18">
        <v>4.6589999999999999E-5</v>
      </c>
      <c r="BF197" s="13"/>
      <c r="BG197" t="s">
        <v>1125</v>
      </c>
      <c r="BH197" t="s">
        <v>1126</v>
      </c>
      <c r="BI197" t="s">
        <v>1113</v>
      </c>
      <c r="BJ197" t="s">
        <v>1114</v>
      </c>
      <c r="BK197" t="s">
        <v>1115</v>
      </c>
      <c r="BL197" t="s">
        <v>1116</v>
      </c>
      <c r="BM197" t="s">
        <v>1117</v>
      </c>
      <c r="BN197" s="13"/>
      <c r="BO197" t="s">
        <v>973</v>
      </c>
      <c r="BP197">
        <v>1</v>
      </c>
      <c r="BQ197" t="s">
        <v>973</v>
      </c>
      <c r="BR197" t="s">
        <v>973</v>
      </c>
    </row>
    <row r="198" spans="1:70" x14ac:dyDescent="0.25">
      <c r="A198" t="s">
        <v>408</v>
      </c>
      <c r="B198" t="s">
        <v>409</v>
      </c>
      <c r="C198" t="s">
        <v>270</v>
      </c>
      <c r="D198" s="6"/>
      <c r="E198" s="9" t="str">
        <f>HYPERLINK("http://plants.ensembl.org/Triticum_aestivum/Gene/Summary?g=TRIAE_CS42_3DS_TGACv1_273109_AA0928410","TRIAE_CS42_3DS_TGACv1_273109_AA0928410")</f>
        <v>TRIAE_CS42_3DS_TGACv1_273109_AA0928410</v>
      </c>
      <c r="H198" s="8" t="str">
        <f>HYPERLINK("http://plants.ensembl.org/Brachypodium_distachyon/Gene/Summary?g=Bradi2g05580","Bradi2g05580")</f>
        <v>Bradi2g05580</v>
      </c>
      <c r="I198" s="1" t="s">
        <v>1051</v>
      </c>
      <c r="J198" s="9" t="str">
        <f>HYPERLINK("http://plants.ensembl.org/Oryza_sativa/Gene/Summary?db=otherfeatures;g=LOC_Os01g09260","LOC_Os01g09260")</f>
        <v>LOC_Os01g09260</v>
      </c>
      <c r="L198" s="6"/>
      <c r="M198" s="1" t="s">
        <v>973</v>
      </c>
      <c r="N198" s="1" t="s">
        <v>973</v>
      </c>
      <c r="O198" s="1" t="s">
        <v>973</v>
      </c>
      <c r="P198" s="1" t="s">
        <v>973</v>
      </c>
      <c r="Q198" s="1">
        <v>1</v>
      </c>
      <c r="R198" s="1" t="s">
        <v>973</v>
      </c>
      <c r="S198" s="1"/>
      <c r="T198" s="6"/>
      <c r="U198" s="11">
        <v>7.1003602786972975</v>
      </c>
      <c r="V198" s="11">
        <v>8.0042026725013695</v>
      </c>
      <c r="W198" s="11">
        <v>7.6615394099596372</v>
      </c>
      <c r="X198" s="11">
        <v>8.2895340260911148</v>
      </c>
      <c r="Y198" s="11">
        <v>7.3160135616173356</v>
      </c>
      <c r="Z198" s="11">
        <v>6.8295472757892055</v>
      </c>
      <c r="AA198" s="11">
        <v>8.0086105115710993</v>
      </c>
      <c r="AB198" s="11">
        <v>6.8744301810188704</v>
      </c>
      <c r="AC198" s="11">
        <v>6.7964528301152001</v>
      </c>
      <c r="AD198" s="11">
        <v>7.5985086299377684</v>
      </c>
      <c r="AE198" s="11">
        <v>7.7828414308161813</v>
      </c>
      <c r="AF198" s="11">
        <v>7.3954533051462104</v>
      </c>
      <c r="AG198" s="11">
        <v>7.633328274674315</v>
      </c>
      <c r="AH198" s="11">
        <v>6.9430887322425967</v>
      </c>
      <c r="AI198" s="11">
        <v>6.7198049690236612</v>
      </c>
      <c r="AJ198" s="11">
        <v>6.8338700389060314</v>
      </c>
      <c r="AK198" s="6"/>
      <c r="AL198" t="s">
        <v>1073</v>
      </c>
      <c r="AM198">
        <v>0</v>
      </c>
      <c r="AN198" s="6"/>
      <c r="AO198" s="20">
        <v>0.34849999999999998</v>
      </c>
      <c r="AP198" s="20">
        <v>0.37009999999999998</v>
      </c>
      <c r="AQ198" s="20">
        <v>-0.12139999999999999</v>
      </c>
      <c r="AR198" s="20">
        <v>0.88339999999999996</v>
      </c>
      <c r="AS198" s="20">
        <v>-0.31680000000000003</v>
      </c>
      <c r="AT198" s="20">
        <v>-0.1066</v>
      </c>
      <c r="AU198" s="20">
        <v>1.2890999999999999</v>
      </c>
      <c r="AV198" s="20">
        <v>4.0099999999999997E-2</v>
      </c>
      <c r="AW198" s="6"/>
      <c r="AX198" s="18">
        <v>0.40089999999999998</v>
      </c>
      <c r="AY198" s="18">
        <v>0.38069999999999998</v>
      </c>
      <c r="AZ198" s="18">
        <v>0.76170000000000004</v>
      </c>
      <c r="BA198" s="18">
        <v>2.758E-2</v>
      </c>
      <c r="BB198" s="18">
        <v>0.42970000000000003</v>
      </c>
      <c r="BC198" s="18">
        <v>0.79279999999999995</v>
      </c>
      <c r="BD198" s="18">
        <v>1.359E-3</v>
      </c>
      <c r="BE198" s="18">
        <v>0.92149999999999999</v>
      </c>
      <c r="BF198" s="13"/>
      <c r="BG198" t="s">
        <v>1250</v>
      </c>
      <c r="BH198" t="s">
        <v>1269</v>
      </c>
      <c r="BI198" t="s">
        <v>1113</v>
      </c>
      <c r="BJ198" t="s">
        <v>1217</v>
      </c>
      <c r="BK198" t="s">
        <v>1115</v>
      </c>
      <c r="BL198" t="s">
        <v>1279</v>
      </c>
      <c r="BM198" t="s">
        <v>1117</v>
      </c>
      <c r="BN198" s="13"/>
      <c r="BO198" t="s">
        <v>973</v>
      </c>
      <c r="BP198" t="s">
        <v>973</v>
      </c>
      <c r="BQ198" t="s">
        <v>973</v>
      </c>
      <c r="BR198" t="s">
        <v>973</v>
      </c>
    </row>
    <row r="199" spans="1:70" x14ac:dyDescent="0.25">
      <c r="A199" t="s">
        <v>412</v>
      </c>
      <c r="B199" t="s">
        <v>413</v>
      </c>
      <c r="C199" t="s">
        <v>270</v>
      </c>
      <c r="D199" s="6"/>
      <c r="E199" s="9" t="str">
        <f>HYPERLINK("http://plants.ensembl.org/Triticum_aestivum/Gene/Summary?g=TRIAE_CS42_3DS_TGACv1_271787_AA0908010","TRIAE_CS42_3DS_TGACv1_271787_AA0908010")</f>
        <v>TRIAE_CS42_3DS_TGACv1_271787_AA0908010</v>
      </c>
      <c r="H199" s="8" t="str">
        <f>HYPERLINK("http://plants.ensembl.org/Brachypodium_distachyon/Gene/Summary?g=Bradi2g06030","Bradi2g06030")</f>
        <v>Bradi2g06030</v>
      </c>
      <c r="I199" s="8" t="str">
        <f>HYPERLINK("http://plants.ensembl.org/Arabidopsis_thaliana/Gene/Summary?g=AT5G56970","AT5G56970")</f>
        <v>AT5G56970</v>
      </c>
      <c r="J199" s="9" t="str">
        <f>HYPERLINK("http://plants.ensembl.org/Oryza_sativa/Gene/Summary?db=otherfeatures;g=LOC_Os01g10110","LOC_Os01g10110")</f>
        <v>LOC_Os01g10110</v>
      </c>
      <c r="L199" s="6"/>
      <c r="M199" s="1" t="s">
        <v>973</v>
      </c>
      <c r="N199" s="1" t="s">
        <v>973</v>
      </c>
      <c r="O199" s="1" t="s">
        <v>973</v>
      </c>
      <c r="P199" s="1" t="s">
        <v>973</v>
      </c>
      <c r="Q199" s="1">
        <v>1</v>
      </c>
      <c r="R199" s="1" t="s">
        <v>973</v>
      </c>
      <c r="S199" s="1"/>
      <c r="T199" s="6"/>
      <c r="U199" s="11">
        <v>5.0773583757350016</v>
      </c>
      <c r="V199" s="11">
        <v>3.6244869657267382</v>
      </c>
      <c r="W199" s="11">
        <v>5.6017420703827607</v>
      </c>
      <c r="X199" s="11">
        <v>6.1741813460875079</v>
      </c>
      <c r="Y199" s="11">
        <v>5.5235483653875415</v>
      </c>
      <c r="Z199" s="11">
        <v>4.9266541775716446</v>
      </c>
      <c r="AA199" s="11">
        <v>7.4223849556607151</v>
      </c>
      <c r="AB199" s="11">
        <v>5.2890684140045954</v>
      </c>
      <c r="AC199" s="11">
        <v>5.2033173295784625</v>
      </c>
      <c r="AD199" s="11">
        <v>4.4259672380726807</v>
      </c>
      <c r="AE199" s="11">
        <v>5.8776035721454187</v>
      </c>
      <c r="AF199" s="11">
        <v>5.0699598904597742</v>
      </c>
      <c r="AG199" s="11">
        <v>5.4820910350933678</v>
      </c>
      <c r="AH199" s="11">
        <v>3.9803513478232007</v>
      </c>
      <c r="AI199" s="11">
        <v>6.4595851700512741</v>
      </c>
      <c r="AJ199" s="11">
        <v>5.108418515861346</v>
      </c>
      <c r="AK199" s="6"/>
      <c r="AL199" t="s">
        <v>1105</v>
      </c>
      <c r="AM199">
        <v>0</v>
      </c>
      <c r="AN199" s="6"/>
      <c r="AO199" s="20">
        <v>-8.4500000000000006E-2</v>
      </c>
      <c r="AP199" s="20">
        <v>-0.55030000000000001</v>
      </c>
      <c r="AQ199" s="20">
        <v>-0.2777</v>
      </c>
      <c r="AR199" s="20">
        <v>1.1076999999999999</v>
      </c>
      <c r="AS199" s="20">
        <v>4.1599999999999998E-2</v>
      </c>
      <c r="AT199" s="20">
        <v>0.97219999999999995</v>
      </c>
      <c r="AU199" s="20">
        <v>0.96020000000000005</v>
      </c>
      <c r="AV199" s="20">
        <v>0.1802</v>
      </c>
      <c r="AW199" s="6"/>
      <c r="AX199" s="18">
        <v>0.86970000000000003</v>
      </c>
      <c r="AY199" s="18">
        <v>0.40160000000000001</v>
      </c>
      <c r="AZ199" s="18">
        <v>0.5585</v>
      </c>
      <c r="BA199" s="18">
        <v>2.1420000000000002E-2</v>
      </c>
      <c r="BB199" s="18">
        <v>0.93049999999999999</v>
      </c>
      <c r="BC199" s="18">
        <v>5.7639999999999997E-2</v>
      </c>
      <c r="BD199" s="18">
        <v>3.8039999999999997E-2</v>
      </c>
      <c r="BE199" s="18">
        <v>0.71150000000000002</v>
      </c>
      <c r="BF199" s="13"/>
      <c r="BG199" t="s">
        <v>1111</v>
      </c>
      <c r="BH199" t="s">
        <v>1216</v>
      </c>
      <c r="BI199" t="s">
        <v>1113</v>
      </c>
      <c r="BJ199" t="s">
        <v>1217</v>
      </c>
      <c r="BK199" t="s">
        <v>1115</v>
      </c>
      <c r="BL199" t="s">
        <v>1218</v>
      </c>
      <c r="BM199" t="s">
        <v>1117</v>
      </c>
      <c r="BN199" s="13"/>
      <c r="BO199" t="s">
        <v>973</v>
      </c>
      <c r="BP199" t="s">
        <v>973</v>
      </c>
      <c r="BQ199" t="s">
        <v>973</v>
      </c>
      <c r="BR199" t="s">
        <v>973</v>
      </c>
    </row>
    <row r="200" spans="1:70" x14ac:dyDescent="0.25">
      <c r="A200" t="s">
        <v>414</v>
      </c>
      <c r="B200" t="s">
        <v>415</v>
      </c>
      <c r="C200" t="s">
        <v>270</v>
      </c>
      <c r="D200" s="6"/>
      <c r="E200" s="9" t="str">
        <f>HYPERLINK("http://plants.ensembl.org/Triticum_aestivum/Gene/Summary?g=TRIAE_CS42_3DS_TGACv1_273065_AA0927920","TRIAE_CS42_3DS_TGACv1_273065_AA0927920")</f>
        <v>TRIAE_CS42_3DS_TGACv1_273065_AA0927920</v>
      </c>
      <c r="F200" s="9" t="str">
        <f>HYPERLINK("http://mar2016-plants.ensembl.org/Triticum_aestivum/Gene/Summary?db=core;g=Traes_3DS_80121E6F9","Traes_3DS_80121E6F9")</f>
        <v>Traes_3DS_80121E6F9</v>
      </c>
      <c r="H200" s="1" t="s">
        <v>1051</v>
      </c>
      <c r="I200" s="1" t="s">
        <v>1051</v>
      </c>
      <c r="J200" s="1" t="s">
        <v>1051</v>
      </c>
      <c r="L200" s="6"/>
      <c r="M200" s="1" t="s">
        <v>973</v>
      </c>
      <c r="N200" s="1" t="s">
        <v>973</v>
      </c>
      <c r="O200" s="1" t="s">
        <v>973</v>
      </c>
      <c r="P200" s="1" t="s">
        <v>973</v>
      </c>
      <c r="Q200" s="1">
        <v>1</v>
      </c>
      <c r="R200" s="1" t="s">
        <v>973</v>
      </c>
      <c r="S200" s="1"/>
      <c r="T200" s="6"/>
      <c r="U200" s="11">
        <v>5.1295701533819029</v>
      </c>
      <c r="V200" s="11">
        <v>5.205955467119745</v>
      </c>
      <c r="W200" s="11">
        <v>6.0510936294833444</v>
      </c>
      <c r="X200" s="11">
        <v>6.3819720188528155</v>
      </c>
      <c r="Y200" s="11">
        <v>5.6562465563667947</v>
      </c>
      <c r="Z200" s="11">
        <v>6.4596649447617951</v>
      </c>
      <c r="AA200" s="11">
        <v>1.7707585830155093</v>
      </c>
      <c r="AB200" s="11">
        <v>0.96270941627772388</v>
      </c>
      <c r="AC200" s="11">
        <v>5.4639395481331716</v>
      </c>
      <c r="AD200" s="11">
        <v>7.3409621710076651</v>
      </c>
      <c r="AE200" s="11">
        <v>6.7880383360647132</v>
      </c>
      <c r="AF200" s="11">
        <v>7.4357921991041369</v>
      </c>
      <c r="AG200" s="11">
        <v>6.3286067174274159</v>
      </c>
      <c r="AH200" s="11">
        <v>7.0942096736909246</v>
      </c>
      <c r="AI200" s="11">
        <v>0.59508985672191883</v>
      </c>
      <c r="AJ200" s="11">
        <v>1.5970305240302465</v>
      </c>
      <c r="AK200" s="6"/>
      <c r="AL200" t="s">
        <v>1083</v>
      </c>
      <c r="AM200">
        <v>176</v>
      </c>
      <c r="AN200" s="6"/>
      <c r="AO200" s="20">
        <v>-0.31119999999999998</v>
      </c>
      <c r="AP200" s="20">
        <v>-2.0840000000000001</v>
      </c>
      <c r="AQ200" s="20">
        <v>-0.73860000000000003</v>
      </c>
      <c r="AR200" s="20">
        <v>-1.0572999999999999</v>
      </c>
      <c r="AS200" s="20">
        <v>-0.67569999999999997</v>
      </c>
      <c r="AT200" s="20">
        <v>-0.62619999999999998</v>
      </c>
      <c r="AU200" s="20">
        <v>1.6548</v>
      </c>
      <c r="AV200" s="20">
        <v>-0.92449999999999999</v>
      </c>
      <c r="AW200" s="6"/>
      <c r="AX200" s="18">
        <v>0.45760000000000001</v>
      </c>
      <c r="AY200" s="18">
        <v>3.63E-6</v>
      </c>
      <c r="AZ200" s="18">
        <v>4.2869999999999998E-2</v>
      </c>
      <c r="BA200" s="18">
        <v>3.4819999999999999E-3</v>
      </c>
      <c r="BB200" s="18">
        <v>6.8229999999999999E-2</v>
      </c>
      <c r="BC200" s="18">
        <v>8.3470000000000003E-2</v>
      </c>
      <c r="BD200" s="18">
        <v>8.6180000000000007E-2</v>
      </c>
      <c r="BE200" s="18">
        <v>0.31219999999999998</v>
      </c>
      <c r="BF200" s="13"/>
      <c r="BG200" t="s">
        <v>1249</v>
      </c>
      <c r="BH200" t="s">
        <v>1112</v>
      </c>
      <c r="BI200" t="s">
        <v>1317</v>
      </c>
      <c r="BJ200" t="s">
        <v>1114</v>
      </c>
      <c r="BK200" t="s">
        <v>1151</v>
      </c>
      <c r="BL200" t="s">
        <v>1116</v>
      </c>
      <c r="BM200" t="s">
        <v>1388</v>
      </c>
      <c r="BN200" s="13"/>
      <c r="BO200" t="s">
        <v>973</v>
      </c>
      <c r="BP200" t="s">
        <v>973</v>
      </c>
      <c r="BQ200" t="s">
        <v>973</v>
      </c>
      <c r="BR200" t="s">
        <v>973</v>
      </c>
    </row>
    <row r="201" spans="1:70" x14ac:dyDescent="0.25">
      <c r="A201" t="s">
        <v>430</v>
      </c>
      <c r="B201" t="s">
        <v>330</v>
      </c>
      <c r="C201" t="s">
        <v>270</v>
      </c>
      <c r="D201" s="6"/>
      <c r="E201" s="9" t="str">
        <f>HYPERLINK("http://plants.ensembl.org/Triticum_aestivum/Gene/Summary?g=TRIAE_CS42_3DL_TGACv1_249970_AA0859480","TRIAE_CS42_3DL_TGACv1_249970_AA0859480")</f>
        <v>TRIAE_CS42_3DL_TGACv1_249970_AA0859480</v>
      </c>
      <c r="H201" s="8" t="str">
        <f>HYPERLINK("http://plants.ensembl.org/Brachypodium_distachyon/Gene/Summary?g=Bradi2g51530","Bradi2g51530")</f>
        <v>Bradi2g51530</v>
      </c>
      <c r="I201" s="8" t="str">
        <f>HYPERLINK("http://plants.ensembl.org/Arabidopsis_thaliana/Gene/Summary?g=AT1G75450","AT1G75450")</f>
        <v>AT1G75450</v>
      </c>
      <c r="J201" s="9" t="str">
        <f>HYPERLINK("http://plants.ensembl.org/Oryza_sativa/Gene/Summary?db=otherfeatures;g=LOC_Os01g56810","LOC_Os01g56810")</f>
        <v>LOC_Os01g56810</v>
      </c>
      <c r="L201" s="6"/>
      <c r="M201" s="1" t="s">
        <v>973</v>
      </c>
      <c r="N201" s="1" t="s">
        <v>973</v>
      </c>
      <c r="O201" s="1" t="s">
        <v>973</v>
      </c>
      <c r="P201" s="1" t="s">
        <v>973</v>
      </c>
      <c r="Q201" s="1">
        <v>1</v>
      </c>
      <c r="R201" s="1" t="s">
        <v>973</v>
      </c>
      <c r="S201" s="1"/>
      <c r="T201" s="6"/>
      <c r="U201" s="11">
        <v>6.0500285575258337</v>
      </c>
      <c r="V201" s="11">
        <v>6.7646831989458249</v>
      </c>
      <c r="W201" s="11">
        <v>4.5172861931352797</v>
      </c>
      <c r="X201" s="11">
        <v>4.6953925649074542</v>
      </c>
      <c r="Y201" s="11">
        <v>4.7901707896595536</v>
      </c>
      <c r="Z201" s="11">
        <v>4.5722631522024892</v>
      </c>
      <c r="AA201" s="11">
        <v>4.923665808002597</v>
      </c>
      <c r="AB201" s="11">
        <v>3.5920543221394037</v>
      </c>
      <c r="AC201" s="11">
        <v>3.8426905991101972</v>
      </c>
      <c r="AD201" s="11">
        <v>0.71861369897548444</v>
      </c>
      <c r="AE201" s="11">
        <v>2.0824528093604782</v>
      </c>
      <c r="AF201" s="11">
        <v>1.4148030422845528</v>
      </c>
      <c r="AG201" s="11">
        <v>2.7031966988442475</v>
      </c>
      <c r="AH201" s="11">
        <v>1.3538125763646582</v>
      </c>
      <c r="AI201" s="11">
        <v>2.2913874519022537</v>
      </c>
      <c r="AJ201" s="11">
        <v>1.3416252655652978</v>
      </c>
      <c r="AK201" s="6"/>
      <c r="AL201" t="s">
        <v>1077</v>
      </c>
      <c r="AM201">
        <v>267</v>
      </c>
      <c r="AN201" s="6"/>
      <c r="AO201" s="20">
        <v>2.3218999999999999</v>
      </c>
      <c r="AP201" s="20">
        <v>6.3085000000000004</v>
      </c>
      <c r="AQ201" s="20">
        <v>2.6876000000000002</v>
      </c>
      <c r="AR201" s="20">
        <v>3.7665999999999999</v>
      </c>
      <c r="AS201" s="20">
        <v>2.1949000000000001</v>
      </c>
      <c r="AT201" s="20">
        <v>3.7570000000000001</v>
      </c>
      <c r="AU201" s="20">
        <v>2.8502999999999998</v>
      </c>
      <c r="AV201" s="20">
        <v>2.7088000000000001</v>
      </c>
      <c r="AW201" s="6"/>
      <c r="AX201" s="18">
        <v>3.146E-4</v>
      </c>
      <c r="AY201" s="18">
        <v>7.2210000000000002E-11</v>
      </c>
      <c r="AZ201" s="18">
        <v>1.884E-4</v>
      </c>
      <c r="BA201" s="18">
        <v>3.2150000000000001E-6</v>
      </c>
      <c r="BB201" s="18">
        <v>7.9009999999999996E-4</v>
      </c>
      <c r="BC201" s="18">
        <v>6.3260000000000001E-6</v>
      </c>
      <c r="BD201" s="18">
        <v>4.0200000000000001E-5</v>
      </c>
      <c r="BE201" s="18">
        <v>1.016E-3</v>
      </c>
      <c r="BF201" s="13"/>
      <c r="BG201" t="s">
        <v>1125</v>
      </c>
      <c r="BH201" t="s">
        <v>1126</v>
      </c>
      <c r="BI201" t="s">
        <v>1113</v>
      </c>
      <c r="BJ201" t="s">
        <v>1114</v>
      </c>
      <c r="BK201" t="s">
        <v>1115</v>
      </c>
      <c r="BL201" t="s">
        <v>1116</v>
      </c>
      <c r="BM201" t="s">
        <v>1117</v>
      </c>
      <c r="BN201" s="13"/>
      <c r="BO201" t="s">
        <v>973</v>
      </c>
      <c r="BP201">
        <v>1</v>
      </c>
      <c r="BQ201" t="s">
        <v>973</v>
      </c>
      <c r="BR201" t="s">
        <v>973</v>
      </c>
    </row>
    <row r="202" spans="1:70" x14ac:dyDescent="0.25">
      <c r="A202" t="s">
        <v>438</v>
      </c>
      <c r="B202" t="s">
        <v>359</v>
      </c>
      <c r="C202" t="s">
        <v>270</v>
      </c>
      <c r="D202" s="6"/>
      <c r="E202" s="9" t="str">
        <f>HYPERLINK("http://plants.ensembl.org/Triticum_aestivum/Gene/Summary?g=TRIAE_CS42_3DL_TGACv1_249285_AA0844270","TRIAE_CS42_3DL_TGACv1_249285_AA0844270")</f>
        <v>TRIAE_CS42_3DL_TGACv1_249285_AA0844270</v>
      </c>
      <c r="F202" s="9" t="str">
        <f>HYPERLINK("http://mar2016-plants.ensembl.org/Triticum_aestivum/Gene/Summary?db=core;g=Traes_3DL_FADFAB015","Traes_3DL_FADFAB015")</f>
        <v>Traes_3DL_FADFAB015</v>
      </c>
      <c r="H202" s="8" t="str">
        <f>HYPERLINK("http://plants.ensembl.org/Brachypodium_distachyon/Gene/Summary?g=Bradi2g60456","Bradi2g60456")</f>
        <v>Bradi2g60456</v>
      </c>
      <c r="I202" s="8" t="str">
        <f>HYPERLINK("http://plants.ensembl.org/Arabidopsis_thaliana/Gene/Summary?g=AT2G41510","AT2G41510")</f>
        <v>AT2G41510</v>
      </c>
      <c r="J202" s="9" t="str">
        <f>HYPERLINK("http://plants.ensembl.org/Oryza_sativa/Gene/Summary?db=otherfeatures;g=LOC_Os01g71310","LOC_Os01g71310")</f>
        <v>LOC_Os01g71310</v>
      </c>
      <c r="L202" s="6"/>
      <c r="M202" s="1" t="s">
        <v>973</v>
      </c>
      <c r="N202" s="1" t="s">
        <v>973</v>
      </c>
      <c r="O202" s="1" t="s">
        <v>973</v>
      </c>
      <c r="P202" s="1" t="s">
        <v>973</v>
      </c>
      <c r="Q202" s="1">
        <v>1</v>
      </c>
      <c r="R202" s="1" t="s">
        <v>973</v>
      </c>
      <c r="S202" s="1"/>
      <c r="T202" s="6"/>
      <c r="U202" s="11">
        <v>7.0795398949692059</v>
      </c>
      <c r="V202" s="11">
        <v>6.9534123106607701</v>
      </c>
      <c r="W202" s="11">
        <v>6.5581992534257783</v>
      </c>
      <c r="X202" s="11">
        <v>6.4442413374443754</v>
      </c>
      <c r="Y202" s="11">
        <v>6.8888341500257813</v>
      </c>
      <c r="Z202" s="11">
        <v>6.3766012156196847</v>
      </c>
      <c r="AA202" s="11">
        <v>6.6029650509404298</v>
      </c>
      <c r="AB202" s="11">
        <v>6.5384507343233782</v>
      </c>
      <c r="AC202" s="11">
        <v>5.1319035924221303</v>
      </c>
      <c r="AD202" s="11">
        <v>4.5030900276768859</v>
      </c>
      <c r="AE202" s="11">
        <v>4.3546049604292403</v>
      </c>
      <c r="AF202" s="11">
        <v>4.5425263372020721</v>
      </c>
      <c r="AG202" s="11">
        <v>5.4548996917665704</v>
      </c>
      <c r="AH202" s="11">
        <v>3.7877319500713371</v>
      </c>
      <c r="AI202" s="11">
        <v>5.0286767020461012</v>
      </c>
      <c r="AJ202" s="11">
        <v>4.7372396801866277</v>
      </c>
      <c r="AK202" s="6"/>
      <c r="AL202" t="s">
        <v>1077</v>
      </c>
      <c r="AM202">
        <v>1142</v>
      </c>
      <c r="AN202" s="6"/>
      <c r="AO202" s="20">
        <v>1.9959</v>
      </c>
      <c r="AP202" s="20">
        <v>2.5482</v>
      </c>
      <c r="AQ202" s="20">
        <v>2.2323</v>
      </c>
      <c r="AR202" s="20">
        <v>1.8774999999999999</v>
      </c>
      <c r="AS202" s="20">
        <v>1.4389000000000001</v>
      </c>
      <c r="AT202" s="20">
        <v>2.6581999999999999</v>
      </c>
      <c r="AU202" s="20">
        <v>1.5914999999999999</v>
      </c>
      <c r="AV202" s="20">
        <v>1.8223</v>
      </c>
      <c r="AW202" s="6"/>
      <c r="AX202" s="18">
        <v>4.0419999999999996E-6</v>
      </c>
      <c r="AY202" s="18">
        <v>4.3169999999999998E-7</v>
      </c>
      <c r="AZ202" s="18">
        <v>3.0569999999999999E-7</v>
      </c>
      <c r="BA202" s="18">
        <v>1.6160000000000001E-5</v>
      </c>
      <c r="BB202" s="18">
        <v>5.0440000000000001E-4</v>
      </c>
      <c r="BC202" s="18">
        <v>6.7919999999999997E-9</v>
      </c>
      <c r="BD202" s="18">
        <v>1.639E-4</v>
      </c>
      <c r="BE202" s="18">
        <v>2.1889999999999999E-5</v>
      </c>
      <c r="BF202" s="13"/>
      <c r="BG202" t="s">
        <v>1143</v>
      </c>
      <c r="BH202" t="s">
        <v>1112</v>
      </c>
      <c r="BI202" t="s">
        <v>1113</v>
      </c>
      <c r="BJ202" t="s">
        <v>1114</v>
      </c>
      <c r="BK202" t="s">
        <v>1115</v>
      </c>
      <c r="BL202" t="s">
        <v>1116</v>
      </c>
      <c r="BM202" t="s">
        <v>1117</v>
      </c>
      <c r="BN202" s="13"/>
      <c r="BO202" t="s">
        <v>973</v>
      </c>
      <c r="BP202" t="s">
        <v>973</v>
      </c>
      <c r="BQ202" t="s">
        <v>973</v>
      </c>
      <c r="BR202" t="s">
        <v>973</v>
      </c>
    </row>
    <row r="203" spans="1:70" x14ac:dyDescent="0.25">
      <c r="A203" t="s">
        <v>98</v>
      </c>
      <c r="B203" t="s">
        <v>99</v>
      </c>
      <c r="C203" t="s">
        <v>100</v>
      </c>
      <c r="D203" s="6"/>
      <c r="E203" s="9" t="str">
        <f>HYPERLINK("http://plants.ensembl.org/Triticum_aestivum/Gene/Summary?g=TRIAE_CS42_1BL_TGACv1_032046_AA0124680","TRIAE_CS42_1BL_TGACv1_032046_AA0124680")</f>
        <v>TRIAE_CS42_1BL_TGACv1_032046_AA0124680</v>
      </c>
      <c r="F203" s="9" t="str">
        <f>HYPERLINK("http://mar2016-plants.ensembl.org/Triticum_aestivum/Gene/Summary?db=core;g=Traes_1BL_005DC3E38","Traes_1BL_005DC3E38")</f>
        <v>Traes_1BL_005DC3E38</v>
      </c>
      <c r="H203" s="8" t="str">
        <f>HYPERLINK("http://plants.ensembl.org/Brachypodium_distachyon/Gene/Summary?g=Bradi2g14470","Bradi2g14470")</f>
        <v>Bradi2g14470</v>
      </c>
      <c r="I203" s="1" t="s">
        <v>1051</v>
      </c>
      <c r="J203" s="9" t="str">
        <f>HYPERLINK("http://plants.ensembl.org/Oryza_sativa/Gene/Summary?db=otherfeatures;g=LOC_Os05g51390","LOC_Os05g51390")</f>
        <v>LOC_Os05g51390</v>
      </c>
      <c r="L203" s="6"/>
      <c r="M203" s="1" t="s">
        <v>973</v>
      </c>
      <c r="N203" s="1" t="s">
        <v>973</v>
      </c>
      <c r="O203" s="1" t="s">
        <v>973</v>
      </c>
      <c r="P203" s="1" t="s">
        <v>973</v>
      </c>
      <c r="Q203" s="1">
        <v>1</v>
      </c>
      <c r="R203" s="1" t="s">
        <v>973</v>
      </c>
      <c r="S203" s="1"/>
      <c r="T203" s="6"/>
      <c r="U203" s="11">
        <v>4.6036461247311937</v>
      </c>
      <c r="V203" s="11">
        <v>6.7933020051636532</v>
      </c>
      <c r="W203" s="11">
        <v>4.3859394573321344</v>
      </c>
      <c r="X203" s="11">
        <v>4.7058139078683432</v>
      </c>
      <c r="Y203" s="11">
        <v>5.1902000059921276</v>
      </c>
      <c r="Z203" s="11">
        <v>5.4105932466390296</v>
      </c>
      <c r="AA203" s="11">
        <v>5.3842248358056004</v>
      </c>
      <c r="AB203" s="11">
        <v>4.8047729368186509</v>
      </c>
      <c r="AC203" s="11">
        <v>5.4287565627447405</v>
      </c>
      <c r="AD203" s="11">
        <v>4.7444607287213136</v>
      </c>
      <c r="AE203" s="11">
        <v>4.6844129458809398</v>
      </c>
      <c r="AF203" s="11">
        <v>4.5466043487228767</v>
      </c>
      <c r="AG203" s="11">
        <v>5.4468539200648767</v>
      </c>
      <c r="AH203" s="11">
        <v>4.8559033455735658</v>
      </c>
      <c r="AI203" s="11">
        <v>4.8402500450294985</v>
      </c>
      <c r="AJ203" s="11">
        <v>4.4323158395766251</v>
      </c>
      <c r="AK203" s="6"/>
      <c r="AL203" t="s">
        <v>1073</v>
      </c>
      <c r="AM203">
        <v>0</v>
      </c>
      <c r="AN203" s="6"/>
      <c r="AO203" s="20">
        <v>-0.63380000000000003</v>
      </c>
      <c r="AP203" s="20">
        <v>2.1400999999999999</v>
      </c>
      <c r="AQ203" s="20">
        <v>-0.30459999999999998</v>
      </c>
      <c r="AR203" s="20">
        <v>0.1799</v>
      </c>
      <c r="AS203" s="20">
        <v>-0.27379999999999999</v>
      </c>
      <c r="AT203" s="20">
        <v>0.55830000000000002</v>
      </c>
      <c r="AU203" s="20">
        <v>0.54120000000000001</v>
      </c>
      <c r="AV203" s="20">
        <v>0.3881</v>
      </c>
      <c r="AW203" s="6"/>
      <c r="AX203" s="18">
        <v>4.5809999999999997E-2</v>
      </c>
      <c r="AY203" s="18">
        <v>3.3009999999999998E-11</v>
      </c>
      <c r="AZ203" s="18">
        <v>0.30170000000000002</v>
      </c>
      <c r="BA203" s="18">
        <v>0.54720000000000002</v>
      </c>
      <c r="BB203" s="18">
        <v>0.28420000000000001</v>
      </c>
      <c r="BC203" s="18">
        <v>4.0050000000000002E-2</v>
      </c>
      <c r="BD203" s="18">
        <v>3.993E-2</v>
      </c>
      <c r="BE203" s="18">
        <v>0.19289999999999999</v>
      </c>
      <c r="BF203" s="13"/>
      <c r="BG203" t="s">
        <v>1125</v>
      </c>
      <c r="BH203" t="s">
        <v>1126</v>
      </c>
      <c r="BI203" t="s">
        <v>1113</v>
      </c>
      <c r="BJ203" t="s">
        <v>1127</v>
      </c>
      <c r="BK203" t="s">
        <v>1115</v>
      </c>
      <c r="BL203" t="s">
        <v>1116</v>
      </c>
      <c r="BM203" t="s">
        <v>1117</v>
      </c>
      <c r="BN203" s="13"/>
      <c r="BO203" t="s">
        <v>973</v>
      </c>
      <c r="BP203">
        <v>1</v>
      </c>
      <c r="BQ203" t="s">
        <v>973</v>
      </c>
      <c r="BR203" t="s">
        <v>973</v>
      </c>
    </row>
    <row r="204" spans="1:70" x14ac:dyDescent="0.25">
      <c r="A204" t="s">
        <v>121</v>
      </c>
      <c r="B204" t="s">
        <v>122</v>
      </c>
      <c r="C204" t="s">
        <v>100</v>
      </c>
      <c r="D204" s="6"/>
      <c r="E204" s="9" t="str">
        <f>HYPERLINK("http://plants.ensembl.org/Triticum_aestivum/Gene/Summary?g=TRIAE_CS42_1DL_TGACv1_061304_AA0191880","TRIAE_CS42_1DL_TGACv1_061304_AA0191880")</f>
        <v>TRIAE_CS42_1DL_TGACv1_061304_AA0191880</v>
      </c>
      <c r="F204" s="9" t="str">
        <f>HYPERLINK("http://mar2016-plants.ensembl.org/Triticum_aestivum/Gene/Summary?db=core;g=Traes_1DL_847254606","Traes_1DL_847254606")</f>
        <v>Traes_1DL_847254606</v>
      </c>
      <c r="H204" s="8" t="str">
        <f>HYPERLINK("http://plants.ensembl.org/Brachypodium_distachyon/Gene/Summary?g=Bradi2g14470","Bradi2g14470")</f>
        <v>Bradi2g14470</v>
      </c>
      <c r="I204" s="1" t="s">
        <v>1051</v>
      </c>
      <c r="J204" s="9" t="str">
        <f>HYPERLINK("http://plants.ensembl.org/Oryza_sativa/Gene/Summary?db=otherfeatures;g=LOC_Os05g51390","LOC_Os05g51390")</f>
        <v>LOC_Os05g51390</v>
      </c>
      <c r="L204" s="6"/>
      <c r="M204" s="1" t="s">
        <v>973</v>
      </c>
      <c r="N204" s="1" t="s">
        <v>973</v>
      </c>
      <c r="O204" s="1" t="s">
        <v>973</v>
      </c>
      <c r="P204" s="1" t="s">
        <v>973</v>
      </c>
      <c r="Q204" s="1">
        <v>1</v>
      </c>
      <c r="R204" s="1" t="s">
        <v>973</v>
      </c>
      <c r="S204" s="1"/>
      <c r="T204" s="6"/>
      <c r="U204" s="11">
        <v>5.0661078520639737</v>
      </c>
      <c r="V204" s="11">
        <v>7.1502695785176611</v>
      </c>
      <c r="W204" s="11">
        <v>4.8901645467093351</v>
      </c>
      <c r="X204" s="11">
        <v>4.9377461311735784</v>
      </c>
      <c r="Y204" s="11">
        <v>5.6735752678461919</v>
      </c>
      <c r="Z204" s="11">
        <v>5.6779638867917832</v>
      </c>
      <c r="AA204" s="11">
        <v>5.7412440480739164</v>
      </c>
      <c r="AB204" s="11">
        <v>5.6389687257783887</v>
      </c>
      <c r="AC204" s="11">
        <v>4.9295322234329113</v>
      </c>
      <c r="AD204" s="11">
        <v>3.5791197931564933</v>
      </c>
      <c r="AE204" s="11">
        <v>3.9042175319554664</v>
      </c>
      <c r="AF204" s="11">
        <v>3.3817678816016388</v>
      </c>
      <c r="AG204" s="11">
        <v>4.7898822405685779</v>
      </c>
      <c r="AH204" s="11">
        <v>3.8610256806486531</v>
      </c>
      <c r="AI204" s="11">
        <v>4.4053252992867566</v>
      </c>
      <c r="AJ204" s="11">
        <v>3.8184961138143314</v>
      </c>
      <c r="AK204" s="6"/>
      <c r="AL204" t="s">
        <v>1077</v>
      </c>
      <c r="AM204">
        <v>0</v>
      </c>
      <c r="AN204" s="6"/>
      <c r="AO204" s="20">
        <v>0.32040000000000002</v>
      </c>
      <c r="AP204" s="20">
        <v>4.0156000000000001</v>
      </c>
      <c r="AQ204" s="20">
        <v>1.0186999999999999</v>
      </c>
      <c r="AR204" s="20">
        <v>1.6259999999999999</v>
      </c>
      <c r="AS204" s="20">
        <v>0.89790000000000003</v>
      </c>
      <c r="AT204" s="20">
        <v>1.8907</v>
      </c>
      <c r="AU204" s="20">
        <v>1.3602000000000001</v>
      </c>
      <c r="AV204" s="20">
        <v>1.8829</v>
      </c>
      <c r="AW204" s="6"/>
      <c r="AX204" s="18">
        <v>0.41589999999999999</v>
      </c>
      <c r="AY204" s="18">
        <v>7.0079999999999997E-17</v>
      </c>
      <c r="AZ204" s="18">
        <v>8.8730000000000007E-3</v>
      </c>
      <c r="BA204" s="18">
        <v>1.039E-4</v>
      </c>
      <c r="BB204" s="18">
        <v>9.9979999999999999E-3</v>
      </c>
      <c r="BC204" s="18">
        <v>1.1689999999999999E-6</v>
      </c>
      <c r="BD204" s="18">
        <v>1.5770000000000001E-4</v>
      </c>
      <c r="BE204" s="18">
        <v>9.9949999999999992E-7</v>
      </c>
      <c r="BF204" s="13"/>
      <c r="BG204" t="s">
        <v>1125</v>
      </c>
      <c r="BH204" t="s">
        <v>1126</v>
      </c>
      <c r="BI204" t="s">
        <v>1113</v>
      </c>
      <c r="BJ204" t="s">
        <v>1127</v>
      </c>
      <c r="BK204" t="s">
        <v>1115</v>
      </c>
      <c r="BL204" t="s">
        <v>1116</v>
      </c>
      <c r="BM204" t="s">
        <v>1117</v>
      </c>
      <c r="BN204" s="13"/>
      <c r="BO204" t="s">
        <v>973</v>
      </c>
      <c r="BP204">
        <v>1</v>
      </c>
      <c r="BQ204" t="s">
        <v>973</v>
      </c>
      <c r="BR204" t="s">
        <v>973</v>
      </c>
    </row>
    <row r="205" spans="1:70" x14ac:dyDescent="0.25">
      <c r="A205" t="s">
        <v>308</v>
      </c>
      <c r="B205" t="s">
        <v>309</v>
      </c>
      <c r="C205" t="s">
        <v>100</v>
      </c>
      <c r="D205" s="6"/>
      <c r="E205" s="9" t="str">
        <f>HYPERLINK("http://plants.ensembl.org/Triticum_aestivum/Gene/Summary?g=TRIAE_CS42_3AL_TGACv1_195910_AA0655580","TRIAE_CS42_3AL_TGACv1_195910_AA0655580")</f>
        <v>TRIAE_CS42_3AL_TGACv1_195910_AA0655580</v>
      </c>
      <c r="F205" s="9" t="str">
        <f>HYPERLINK("http://mar2016-plants.ensembl.org/Triticum_aestivum/Gene/Summary?db=core;g=Traes_3AL_8FD4F0E98","Traes_3AL_8FD4F0E98")</f>
        <v>Traes_3AL_8FD4F0E98</v>
      </c>
      <c r="H205" s="8" t="str">
        <f>HYPERLINK("http://plants.ensembl.org/Brachypodium_distachyon/Gene/Summary?g=Bradi2g42190","Bradi2g42190")</f>
        <v>Bradi2g42190</v>
      </c>
      <c r="I205" s="1" t="s">
        <v>1051</v>
      </c>
      <c r="J205" s="9" t="str">
        <f>HYPERLINK("http://plants.ensembl.org/Oryza_sativa/Gene/Summary?db=otherfeatures;g=LOC_Os01g40630","LOC_Os01g40630")</f>
        <v>LOC_Os01g40630</v>
      </c>
      <c r="L205" s="6"/>
      <c r="M205" s="1" t="s">
        <v>973</v>
      </c>
      <c r="N205" s="1" t="s">
        <v>973</v>
      </c>
      <c r="O205" s="1" t="s">
        <v>973</v>
      </c>
      <c r="P205" s="1" t="s">
        <v>973</v>
      </c>
      <c r="Q205" s="1">
        <v>1</v>
      </c>
      <c r="R205" s="1" t="s">
        <v>973</v>
      </c>
      <c r="S205" s="1"/>
      <c r="T205" s="6"/>
      <c r="U205" s="11">
        <v>7.0380842154894969</v>
      </c>
      <c r="V205" s="11">
        <v>8.2328198217761237</v>
      </c>
      <c r="W205" s="11">
        <v>5.5740954514224326</v>
      </c>
      <c r="X205" s="11">
        <v>6.6036065649700015</v>
      </c>
      <c r="Y205" s="11">
        <v>5.6644771514928944</v>
      </c>
      <c r="Z205" s="11">
        <v>6.0418058774854231</v>
      </c>
      <c r="AA205" s="11">
        <v>4.8822729546931152</v>
      </c>
      <c r="AB205" s="11">
        <v>6.1166690292247825</v>
      </c>
      <c r="AC205" s="11">
        <v>2.3701177712463459</v>
      </c>
      <c r="AD205" s="11">
        <v>3.0182305998344008</v>
      </c>
      <c r="AE205" s="11">
        <v>2.9485136353125965</v>
      </c>
      <c r="AF205" s="11">
        <v>3.2368599422357542</v>
      </c>
      <c r="AG205" s="11">
        <v>2.5307782619119874</v>
      </c>
      <c r="AH205" s="11">
        <v>3.5858959429718</v>
      </c>
      <c r="AI205" s="11">
        <v>1.4939546936413706</v>
      </c>
      <c r="AJ205" s="11">
        <v>2.9401291553339299</v>
      </c>
      <c r="AK205" s="6"/>
      <c r="AL205" t="s">
        <v>1077</v>
      </c>
      <c r="AM205">
        <v>842</v>
      </c>
      <c r="AN205" s="6"/>
      <c r="AO205" s="20">
        <v>4.8977000000000004</v>
      </c>
      <c r="AP205" s="20">
        <v>4.9305000000000003</v>
      </c>
      <c r="AQ205" s="20">
        <v>2.7303000000000002</v>
      </c>
      <c r="AR205" s="20">
        <v>3.4234</v>
      </c>
      <c r="AS205" s="20">
        <v>3.2660999999999998</v>
      </c>
      <c r="AT205" s="20">
        <v>2.5190999999999999</v>
      </c>
      <c r="AU205" s="20">
        <v>3.8370000000000002</v>
      </c>
      <c r="AV205" s="20">
        <v>3.2988</v>
      </c>
      <c r="AW205" s="6"/>
      <c r="AX205" s="18">
        <v>8.5780000000000002E-15</v>
      </c>
      <c r="AY205" s="18">
        <v>2.0669999999999999E-15</v>
      </c>
      <c r="AZ205" s="18">
        <v>2.5129999999999999E-6</v>
      </c>
      <c r="BA205" s="18">
        <v>1.566E-9</v>
      </c>
      <c r="BB205" s="18">
        <v>1.4030000000000001E-8</v>
      </c>
      <c r="BC205" s="18">
        <v>6.3690000000000003E-6</v>
      </c>
      <c r="BD205" s="18">
        <v>7.6479999999999994E-8</v>
      </c>
      <c r="BE205" s="18">
        <v>1.096E-8</v>
      </c>
      <c r="BF205" s="13"/>
      <c r="BG205" t="s">
        <v>1191</v>
      </c>
      <c r="BH205" t="s">
        <v>1132</v>
      </c>
      <c r="BI205" t="s">
        <v>1113</v>
      </c>
      <c r="BJ205" t="s">
        <v>1114</v>
      </c>
      <c r="BK205" t="s">
        <v>1115</v>
      </c>
      <c r="BL205" t="s">
        <v>1116</v>
      </c>
      <c r="BM205" t="s">
        <v>1117</v>
      </c>
      <c r="BN205" s="13"/>
      <c r="BO205" t="s">
        <v>973</v>
      </c>
      <c r="BP205" t="s">
        <v>973</v>
      </c>
      <c r="BQ205">
        <v>1</v>
      </c>
      <c r="BR205" t="s">
        <v>973</v>
      </c>
    </row>
    <row r="206" spans="1:70" x14ac:dyDescent="0.25">
      <c r="A206" t="s">
        <v>310</v>
      </c>
      <c r="B206" t="s">
        <v>311</v>
      </c>
      <c r="C206" t="s">
        <v>100</v>
      </c>
      <c r="D206" s="6"/>
      <c r="E206" s="9" t="str">
        <f>HYPERLINK("http://plants.ensembl.org/Triticum_aestivum/Gene/Summary?g=TRIAE_CS42_3AL_TGACv1_193616_AA0615180","TRIAE_CS42_3AL_TGACv1_193616_AA0615180")</f>
        <v>TRIAE_CS42_3AL_TGACv1_193616_AA0615180</v>
      </c>
      <c r="F206" s="9" t="str">
        <f>HYPERLINK("http://mar2016-plants.ensembl.org/Triticum_aestivum/Gene/Summary?db=core;g=Traes_3AL_883A4805C","Traes_3AL_883A4805C")</f>
        <v>Traes_3AL_883A4805C</v>
      </c>
      <c r="H206" s="8" t="str">
        <f>HYPERLINK("http://plants.ensembl.org/Brachypodium_distachyon/Gene/Summary?g=Bradi2g47860","Bradi2g47860")</f>
        <v>Bradi2g47860</v>
      </c>
      <c r="I206" s="1" t="s">
        <v>1051</v>
      </c>
      <c r="J206" s="9" t="str">
        <f>HYPERLINK("http://plants.ensembl.org/Oryza_sativa/Gene/Summary?db=otherfeatures;g=LOC_Os01g51210","LOC_Os01g51210")</f>
        <v>LOC_Os01g51210</v>
      </c>
      <c r="L206" s="6"/>
      <c r="M206" s="1" t="s">
        <v>973</v>
      </c>
      <c r="N206" s="1" t="s">
        <v>973</v>
      </c>
      <c r="O206" s="1" t="s">
        <v>973</v>
      </c>
      <c r="P206" s="1" t="s">
        <v>973</v>
      </c>
      <c r="Q206" s="1">
        <v>1</v>
      </c>
      <c r="R206" s="1" t="s">
        <v>973</v>
      </c>
      <c r="S206" s="1"/>
      <c r="T206" s="6"/>
      <c r="U206" s="11">
        <v>8.3022401380761153</v>
      </c>
      <c r="V206" s="11">
        <v>9.5352489982627766</v>
      </c>
      <c r="W206" s="11">
        <v>7.283273598920621</v>
      </c>
      <c r="X206" s="11">
        <v>8.0719424659192978</v>
      </c>
      <c r="Y206" s="11">
        <v>8.0367177952371591</v>
      </c>
      <c r="Z206" s="11">
        <v>7.7324899109786651</v>
      </c>
      <c r="AA206" s="11">
        <v>7.0746345892374825</v>
      </c>
      <c r="AB206" s="11">
        <v>7.2283049996189224</v>
      </c>
      <c r="AC206" s="11">
        <v>5.3710302422318623</v>
      </c>
      <c r="AD206" s="11">
        <v>5.0562627011305699</v>
      </c>
      <c r="AE206" s="11">
        <v>5.5462596372870214</v>
      </c>
      <c r="AF206" s="11">
        <v>4.9532233266714787</v>
      </c>
      <c r="AG206" s="11">
        <v>5.3865339205898541</v>
      </c>
      <c r="AH206" s="11">
        <v>4.3811241411355741</v>
      </c>
      <c r="AI206" s="11">
        <v>5.033556619012483</v>
      </c>
      <c r="AJ206" s="11">
        <v>5.1369227767713461</v>
      </c>
      <c r="AK206" s="6"/>
      <c r="AL206" t="s">
        <v>1077</v>
      </c>
      <c r="AM206" s="12">
        <v>3710</v>
      </c>
      <c r="AN206" s="6"/>
      <c r="AO206" s="20">
        <v>2.9819</v>
      </c>
      <c r="AP206" s="20">
        <v>4.5989000000000004</v>
      </c>
      <c r="AQ206" s="20">
        <v>1.7463</v>
      </c>
      <c r="AR206" s="20">
        <v>3.1031</v>
      </c>
      <c r="AS206" s="20">
        <v>2.6554000000000002</v>
      </c>
      <c r="AT206" s="20">
        <v>3.3898000000000001</v>
      </c>
      <c r="AU206" s="20">
        <v>2.0545</v>
      </c>
      <c r="AV206" s="20">
        <v>2.1036999999999999</v>
      </c>
      <c r="AW206" s="6"/>
      <c r="AX206" s="18">
        <v>1.3709999999999999E-12</v>
      </c>
      <c r="AY206" s="18">
        <v>6.1160000000000003E-24</v>
      </c>
      <c r="AZ206" s="18">
        <v>2.427E-5</v>
      </c>
      <c r="BA206" s="18">
        <v>1.8039999999999999E-13</v>
      </c>
      <c r="BB206" s="18">
        <v>8.5479999999999998E-11</v>
      </c>
      <c r="BC206" s="18">
        <v>6.0930000000000002E-15</v>
      </c>
      <c r="BD206" s="18">
        <v>9.4269999999999999E-7</v>
      </c>
      <c r="BE206" s="18">
        <v>5.0750000000000001E-7</v>
      </c>
      <c r="BF206" s="13"/>
      <c r="BG206" t="s">
        <v>1131</v>
      </c>
      <c r="BH206" t="s">
        <v>1186</v>
      </c>
      <c r="BI206" t="s">
        <v>1113</v>
      </c>
      <c r="BJ206" t="s">
        <v>1127</v>
      </c>
      <c r="BK206" t="s">
        <v>1115</v>
      </c>
      <c r="BL206" t="s">
        <v>1116</v>
      </c>
      <c r="BM206" t="s">
        <v>1117</v>
      </c>
      <c r="BN206" s="13"/>
      <c r="BO206" t="s">
        <v>973</v>
      </c>
      <c r="BP206" t="s">
        <v>973</v>
      </c>
      <c r="BQ206" t="s">
        <v>973</v>
      </c>
      <c r="BR206" t="s">
        <v>973</v>
      </c>
    </row>
    <row r="207" spans="1:70" x14ac:dyDescent="0.25">
      <c r="A207" t="s">
        <v>375</v>
      </c>
      <c r="B207" t="s">
        <v>376</v>
      </c>
      <c r="C207" t="s">
        <v>100</v>
      </c>
      <c r="D207" s="6"/>
      <c r="E207" s="9" t="str">
        <f>HYPERLINK("http://plants.ensembl.org/Triticum_aestivum/Gene/Summary?g=TRIAE_CS42_3B_TGACv1_221227_AA0734400","TRIAE_CS42_3B_TGACv1_221227_AA0734400")</f>
        <v>TRIAE_CS42_3B_TGACv1_221227_AA0734400</v>
      </c>
      <c r="H207" s="8" t="str">
        <f>HYPERLINK("http://plants.ensembl.org/Brachypodium_distachyon/Gene/Summary?g=Bradi2g42190","Bradi2g42190")</f>
        <v>Bradi2g42190</v>
      </c>
      <c r="I207" s="1" t="s">
        <v>1051</v>
      </c>
      <c r="J207" s="9" t="str">
        <f>HYPERLINK("http://plants.ensembl.org/Oryza_sativa/Gene/Summary?db=otherfeatures;g=LOC_Os01g40630","LOC_Os01g40630")</f>
        <v>LOC_Os01g40630</v>
      </c>
      <c r="L207" s="6"/>
      <c r="M207" s="1" t="s">
        <v>973</v>
      </c>
      <c r="N207" s="1" t="s">
        <v>973</v>
      </c>
      <c r="O207" s="1" t="s">
        <v>973</v>
      </c>
      <c r="P207" s="1" t="s">
        <v>973</v>
      </c>
      <c r="Q207" s="1">
        <v>1</v>
      </c>
      <c r="R207" s="1" t="s">
        <v>973</v>
      </c>
      <c r="S207" s="1"/>
      <c r="T207" s="6"/>
      <c r="U207" s="11">
        <v>7.5800263606632594</v>
      </c>
      <c r="V207" s="11">
        <v>9.0489981976453766</v>
      </c>
      <c r="W207" s="11">
        <v>6.3796971977693762</v>
      </c>
      <c r="X207" s="11">
        <v>7.3841853985561956</v>
      </c>
      <c r="Y207" s="11">
        <v>6.8137444287416864</v>
      </c>
      <c r="Z207" s="11">
        <v>6.6097421596940498</v>
      </c>
      <c r="AA207" s="11">
        <v>5.518273894369675</v>
      </c>
      <c r="AB207" s="11">
        <v>6.092189815952243</v>
      </c>
      <c r="AC207" s="11">
        <v>4.1867039109127129</v>
      </c>
      <c r="AD207" s="11">
        <v>5.2663992718706343</v>
      </c>
      <c r="AE207" s="11">
        <v>4.4735704694804541</v>
      </c>
      <c r="AF207" s="11">
        <v>5.2615696777250731</v>
      </c>
      <c r="AG207" s="11">
        <v>4.250024224518441</v>
      </c>
      <c r="AH207" s="11">
        <v>5.1717005606087314</v>
      </c>
      <c r="AI207" s="11">
        <v>3.0254068468480737</v>
      </c>
      <c r="AJ207" s="11">
        <v>4.9224626988333657</v>
      </c>
      <c r="AK207" s="6"/>
      <c r="AL207" t="s">
        <v>1077</v>
      </c>
      <c r="AM207">
        <v>2</v>
      </c>
      <c r="AN207" s="6"/>
      <c r="AO207" s="20">
        <v>3.5387</v>
      </c>
      <c r="AP207" s="20">
        <v>3.8338000000000001</v>
      </c>
      <c r="AQ207" s="20">
        <v>1.9348000000000001</v>
      </c>
      <c r="AR207" s="20">
        <v>2.1091000000000002</v>
      </c>
      <c r="AS207" s="20">
        <v>2.6135000000000002</v>
      </c>
      <c r="AT207" s="20">
        <v>1.4428000000000001</v>
      </c>
      <c r="AU207" s="20">
        <v>2.6305999999999998</v>
      </c>
      <c r="AV207" s="20">
        <v>1.1862999999999999</v>
      </c>
      <c r="AW207" s="6"/>
      <c r="AX207" s="18">
        <v>2.9469999999999999E-16</v>
      </c>
      <c r="AY207" s="18">
        <v>9.6650000000000002E-19</v>
      </c>
      <c r="AZ207" s="18">
        <v>3.3400000000000002E-6</v>
      </c>
      <c r="BA207" s="18">
        <v>1.4880000000000001E-7</v>
      </c>
      <c r="BB207" s="18">
        <v>1.7160000000000001E-10</v>
      </c>
      <c r="BC207" s="18">
        <v>3.748E-4</v>
      </c>
      <c r="BD207" s="18">
        <v>2.4780000000000001E-8</v>
      </c>
      <c r="BE207" s="18">
        <v>3.8990000000000001E-3</v>
      </c>
      <c r="BF207" s="13"/>
      <c r="BG207" t="s">
        <v>1325</v>
      </c>
      <c r="BH207" t="s">
        <v>1144</v>
      </c>
      <c r="BI207" t="s">
        <v>1113</v>
      </c>
      <c r="BJ207" t="s">
        <v>1251</v>
      </c>
      <c r="BK207" t="s">
        <v>1115</v>
      </c>
      <c r="BL207" t="s">
        <v>1348</v>
      </c>
      <c r="BM207" t="s">
        <v>1117</v>
      </c>
      <c r="BN207" s="13"/>
      <c r="BO207" t="s">
        <v>973</v>
      </c>
      <c r="BP207" t="s">
        <v>973</v>
      </c>
      <c r="BQ207" t="s">
        <v>973</v>
      </c>
      <c r="BR207" t="s">
        <v>973</v>
      </c>
    </row>
    <row r="208" spans="1:70" x14ac:dyDescent="0.25">
      <c r="A208" t="s">
        <v>377</v>
      </c>
      <c r="B208" t="s">
        <v>378</v>
      </c>
      <c r="C208" t="s">
        <v>100</v>
      </c>
      <c r="D208" s="6"/>
      <c r="E208" s="9" t="str">
        <f>HYPERLINK("http://plants.ensembl.org/Triticum_aestivum/Gene/Summary?g=TRIAE_CS42_3B_TGACv1_222054_AA0755990","TRIAE_CS42_3B_TGACv1_222054_AA0755990")</f>
        <v>TRIAE_CS42_3B_TGACv1_222054_AA0755990</v>
      </c>
      <c r="F208" s="9" t="str">
        <f>HYPERLINK("http://mar2016-plants.ensembl.org/Triticum_aestivum/Gene/Summary?db=core;g=TRAES3BF076000040CFD","TRAES3BF076000040CFD")</f>
        <v>TRAES3BF076000040CFD</v>
      </c>
      <c r="H208" s="8" t="str">
        <f>HYPERLINK("http://plants.ensembl.org/Brachypodium_distachyon/Gene/Summary?g=Bradi2g47860","Bradi2g47860")</f>
        <v>Bradi2g47860</v>
      </c>
      <c r="I208" s="1" t="s">
        <v>1051</v>
      </c>
      <c r="J208" s="9" t="str">
        <f>HYPERLINK("http://plants.ensembl.org/Oryza_sativa/Gene/Summary?db=otherfeatures;g=LOC_Os01g51210","LOC_Os01g51210")</f>
        <v>LOC_Os01g51210</v>
      </c>
      <c r="L208" s="6"/>
      <c r="M208" s="1" t="s">
        <v>973</v>
      </c>
      <c r="N208" s="1" t="s">
        <v>973</v>
      </c>
      <c r="O208" s="1" t="s">
        <v>973</v>
      </c>
      <c r="P208" s="1" t="s">
        <v>973</v>
      </c>
      <c r="Q208" s="1">
        <v>1</v>
      </c>
      <c r="R208" s="1" t="s">
        <v>973</v>
      </c>
      <c r="S208" s="1"/>
      <c r="T208" s="6"/>
      <c r="U208" s="11">
        <v>7.2486527915723258</v>
      </c>
      <c r="V208" s="11">
        <v>8.8146860649397567</v>
      </c>
      <c r="W208" s="11">
        <v>6.165966189679037</v>
      </c>
      <c r="X208" s="11">
        <v>7.4491401143924127</v>
      </c>
      <c r="Y208" s="11">
        <v>7.0014952695534891</v>
      </c>
      <c r="Z208" s="11">
        <v>6.9846941538391318</v>
      </c>
      <c r="AA208" s="11">
        <v>6.0976241392466637</v>
      </c>
      <c r="AB208" s="11">
        <v>6.4911037690069895</v>
      </c>
      <c r="AC208" s="11">
        <v>4.5755079849519067</v>
      </c>
      <c r="AD208" s="11">
        <v>5.2591732904957862</v>
      </c>
      <c r="AE208" s="11">
        <v>4.6883929977316479</v>
      </c>
      <c r="AF208" s="11">
        <v>4.6989500140167131</v>
      </c>
      <c r="AG208" s="11">
        <v>4.4543316502092631</v>
      </c>
      <c r="AH208" s="11">
        <v>4.4412178632621142</v>
      </c>
      <c r="AI208" s="11">
        <v>4.7298228313186348</v>
      </c>
      <c r="AJ208" s="11">
        <v>5.4593638540969547</v>
      </c>
      <c r="AK208" s="6"/>
      <c r="AL208" t="s">
        <v>1077</v>
      </c>
      <c r="AM208">
        <v>661</v>
      </c>
      <c r="AN208" s="6"/>
      <c r="AO208" s="20">
        <v>2.7873000000000001</v>
      </c>
      <c r="AP208" s="20">
        <v>3.6291000000000002</v>
      </c>
      <c r="AQ208" s="20">
        <v>1.5062</v>
      </c>
      <c r="AR208" s="20">
        <v>2.7433000000000001</v>
      </c>
      <c r="AS208" s="20">
        <v>2.5811999999999999</v>
      </c>
      <c r="AT208" s="20">
        <v>2.5832000000000002</v>
      </c>
      <c r="AU208" s="20">
        <v>1.4008</v>
      </c>
      <c r="AV208" s="20">
        <v>1.0396000000000001</v>
      </c>
      <c r="AW208" s="6"/>
      <c r="AX208" s="18">
        <v>1.8199999999999999E-12</v>
      </c>
      <c r="AY208" s="18">
        <v>3.3550000000000002E-19</v>
      </c>
      <c r="AZ208" s="18">
        <v>8.5870000000000003E-5</v>
      </c>
      <c r="BA208" s="18">
        <v>5.463E-13</v>
      </c>
      <c r="BB208" s="18">
        <v>5.5779999999999999E-12</v>
      </c>
      <c r="BC208" s="18">
        <v>3.2120000000000001E-11</v>
      </c>
      <c r="BD208" s="18">
        <v>2.343E-4</v>
      </c>
      <c r="BE208" s="18">
        <v>5.0400000000000002E-3</v>
      </c>
      <c r="BF208" s="13"/>
      <c r="BG208" t="s">
        <v>1185</v>
      </c>
      <c r="BH208" t="s">
        <v>1144</v>
      </c>
      <c r="BI208" t="s">
        <v>1113</v>
      </c>
      <c r="BJ208" t="s">
        <v>1251</v>
      </c>
      <c r="BK208" t="s">
        <v>1115</v>
      </c>
      <c r="BL208" t="s">
        <v>1116</v>
      </c>
      <c r="BM208" t="s">
        <v>1117</v>
      </c>
      <c r="BN208" s="13"/>
      <c r="BO208" t="s">
        <v>973</v>
      </c>
      <c r="BP208" t="s">
        <v>973</v>
      </c>
      <c r="BQ208" t="s">
        <v>973</v>
      </c>
      <c r="BR208" t="s">
        <v>973</v>
      </c>
    </row>
    <row r="209" spans="1:70" x14ac:dyDescent="0.25">
      <c r="A209" t="s">
        <v>421</v>
      </c>
      <c r="B209" t="s">
        <v>422</v>
      </c>
      <c r="C209" t="s">
        <v>100</v>
      </c>
      <c r="D209" s="6"/>
      <c r="E209" s="9" t="str">
        <f>HYPERLINK("http://plants.ensembl.org/Triticum_aestivum/Gene/Summary?g=TRIAE_CS42_3DL_TGACv1_249199_AA0840950","TRIAE_CS42_3DL_TGACv1_249199_AA0840950")</f>
        <v>TRIAE_CS42_3DL_TGACv1_249199_AA0840950</v>
      </c>
      <c r="F209" s="9" t="str">
        <f>HYPERLINK("http://mar2016-plants.ensembl.org/Triticum_aestivum/Gene/Summary?db=core;g=Traes_3DL_A46119F9F","Traes_3DL_A46119F9F")</f>
        <v>Traes_3DL_A46119F9F</v>
      </c>
      <c r="H209" s="8" t="str">
        <f>HYPERLINK("http://plants.ensembl.org/Brachypodium_distachyon/Gene/Summary?g=Bradi2g47860","Bradi2g47860")</f>
        <v>Bradi2g47860</v>
      </c>
      <c r="I209" s="8" t="str">
        <f>HYPERLINK("http://plants.ensembl.org/Arabidopsis_thaliana/Gene/Summary?g=AT5G11950","AT5G11950")</f>
        <v>AT5G11950</v>
      </c>
      <c r="J209" s="9" t="str">
        <f>HYPERLINK("http://plants.ensembl.org/Oryza_sativa/Gene/Summary?db=otherfeatures;g=LOC_Os01g51210","LOC_Os01g51210")</f>
        <v>LOC_Os01g51210</v>
      </c>
      <c r="L209" s="6"/>
      <c r="M209" s="1" t="s">
        <v>973</v>
      </c>
      <c r="N209" s="1" t="s">
        <v>973</v>
      </c>
      <c r="O209" s="1" t="s">
        <v>973</v>
      </c>
      <c r="P209" s="1" t="s">
        <v>973</v>
      </c>
      <c r="Q209" s="1">
        <v>1</v>
      </c>
      <c r="R209" s="1" t="s">
        <v>973</v>
      </c>
      <c r="S209" s="1"/>
      <c r="T209" s="6"/>
      <c r="U209" s="11">
        <v>8.4187018519075032</v>
      </c>
      <c r="V209" s="11">
        <v>9.6828484931742143</v>
      </c>
      <c r="W209" s="11">
        <v>7.0681046839681523</v>
      </c>
      <c r="X209" s="11">
        <v>8.272660108078119</v>
      </c>
      <c r="Y209" s="11">
        <v>7.5885622389663805</v>
      </c>
      <c r="Z209" s="11">
        <v>7.7362616577831265</v>
      </c>
      <c r="AA209" s="11">
        <v>6.821399842371445</v>
      </c>
      <c r="AB209" s="11">
        <v>7.4576481872714782</v>
      </c>
      <c r="AC209" s="11">
        <v>4.8723313625412974</v>
      </c>
      <c r="AD209" s="11">
        <v>6.5933213986281283</v>
      </c>
      <c r="AE209" s="11">
        <v>5.0049387786282464</v>
      </c>
      <c r="AF209" s="11">
        <v>5.4205868242799031</v>
      </c>
      <c r="AG209" s="11">
        <v>4.9510111112981994</v>
      </c>
      <c r="AH209" s="11">
        <v>5.2535430808504957</v>
      </c>
      <c r="AI209" s="11">
        <v>4.837662410280271</v>
      </c>
      <c r="AJ209" s="11">
        <v>5.7991935350952115</v>
      </c>
      <c r="AK209" s="6"/>
      <c r="AL209" t="s">
        <v>1077</v>
      </c>
      <c r="AM209">
        <v>191</v>
      </c>
      <c r="AN209" s="6"/>
      <c r="AO209" s="20">
        <v>3.6234999999999999</v>
      </c>
      <c r="AP209" s="20">
        <v>3.0808</v>
      </c>
      <c r="AQ209" s="20">
        <v>2.0789</v>
      </c>
      <c r="AR209" s="20">
        <v>2.8479999999999999</v>
      </c>
      <c r="AS209" s="20">
        <v>2.6577000000000002</v>
      </c>
      <c r="AT209" s="20">
        <v>2.4838</v>
      </c>
      <c r="AU209" s="20">
        <v>2.0053000000000001</v>
      </c>
      <c r="AV209" s="20">
        <v>1.6628000000000001</v>
      </c>
      <c r="AW209" s="6"/>
      <c r="AX209" s="18">
        <v>5.5830000000000003E-18</v>
      </c>
      <c r="AY209" s="18">
        <v>9.946E-14</v>
      </c>
      <c r="AZ209" s="18">
        <v>4.4190000000000001E-7</v>
      </c>
      <c r="BA209" s="18">
        <v>2.2150000000000002E-12</v>
      </c>
      <c r="BB209" s="18">
        <v>5.1780000000000001E-11</v>
      </c>
      <c r="BC209" s="18">
        <v>1.231E-9</v>
      </c>
      <c r="BD209" s="18">
        <v>1.243E-6</v>
      </c>
      <c r="BE209" s="18">
        <v>3.5219999999999998E-5</v>
      </c>
      <c r="BF209" s="13"/>
      <c r="BG209" t="s">
        <v>1131</v>
      </c>
      <c r="BH209" t="s">
        <v>1144</v>
      </c>
      <c r="BI209" t="s">
        <v>1113</v>
      </c>
      <c r="BJ209" t="s">
        <v>1251</v>
      </c>
      <c r="BK209" t="s">
        <v>1115</v>
      </c>
      <c r="BL209" t="s">
        <v>1116</v>
      </c>
      <c r="BM209" t="s">
        <v>1117</v>
      </c>
      <c r="BN209" s="13"/>
      <c r="BO209" t="s">
        <v>973</v>
      </c>
      <c r="BP209" t="s">
        <v>973</v>
      </c>
      <c r="BQ209" t="s">
        <v>973</v>
      </c>
      <c r="BR209" t="s">
        <v>973</v>
      </c>
    </row>
    <row r="210" spans="1:70" x14ac:dyDescent="0.25">
      <c r="A210" t="s">
        <v>508</v>
      </c>
      <c r="B210" t="s">
        <v>509</v>
      </c>
      <c r="C210" t="s">
        <v>100</v>
      </c>
      <c r="D210" s="6"/>
      <c r="E210" s="9" t="str">
        <f>HYPERLINK("http://plants.ensembl.org/Triticum_aestivum/Gene/Summary?g=TRIAE_CS42_4AL_TGACv1_289428_AA0970890","TRIAE_CS42_4AL_TGACv1_289428_AA0970890")</f>
        <v>TRIAE_CS42_4AL_TGACv1_289428_AA0970890</v>
      </c>
      <c r="F210" s="9" t="str">
        <f>HYPERLINK("http://mar2016-plants.ensembl.org/Triticum_aestivum/Gene/Summary?db=core;g=Traes_4AL_53E08434F","Traes_4AL_53E08434F")</f>
        <v>Traes_4AL_53E08434F</v>
      </c>
      <c r="H210" s="8" t="str">
        <f>HYPERLINK("http://plants.ensembl.org/Brachypodium_distachyon/Gene/Summary?g=Bradi1g00900","Bradi1g00900")</f>
        <v>Bradi1g00900</v>
      </c>
      <c r="I210" s="1" t="s">
        <v>1051</v>
      </c>
      <c r="J210" s="9" t="str">
        <f>HYPERLINK("http://plants.ensembl.org/Oryza_sativa/Gene/Summary?db=otherfeatures;g=LOC_Os03g64070","LOC_Os03g64070")</f>
        <v>LOC_Os03g64070</v>
      </c>
      <c r="L210" s="6"/>
      <c r="M210" s="1" t="s">
        <v>973</v>
      </c>
      <c r="N210" s="1" t="s">
        <v>973</v>
      </c>
      <c r="O210" s="1" t="s">
        <v>973</v>
      </c>
      <c r="P210" s="1" t="s">
        <v>973</v>
      </c>
      <c r="Q210" s="1">
        <v>1</v>
      </c>
      <c r="R210" s="1" t="s">
        <v>973</v>
      </c>
      <c r="S210" s="1"/>
      <c r="T210" s="6"/>
      <c r="U210" s="11">
        <v>7.5859847988247768</v>
      </c>
      <c r="V210" s="11">
        <v>10.16275338383214</v>
      </c>
      <c r="W210" s="11">
        <v>5.2548169905148869</v>
      </c>
      <c r="X210" s="11">
        <v>7.3198295520036281</v>
      </c>
      <c r="Y210" s="11">
        <v>2.9819317862904655</v>
      </c>
      <c r="Z210" s="11">
        <v>3.5103585609909129</v>
      </c>
      <c r="AA210" s="11">
        <v>5.5952012771085275</v>
      </c>
      <c r="AB210" s="11">
        <v>5.9770096791193748</v>
      </c>
      <c r="AC210" s="11">
        <v>1.7377444392190429</v>
      </c>
      <c r="AD210" s="11">
        <v>1.8686999333438297</v>
      </c>
      <c r="AE210" s="11">
        <v>2.5186190629542167</v>
      </c>
      <c r="AF210" s="11">
        <v>2.150440530173249</v>
      </c>
      <c r="AG210" s="11">
        <v>0.16602981449478316</v>
      </c>
      <c r="AH210" s="11">
        <v>0.32960202277278333</v>
      </c>
      <c r="AI210" s="11">
        <v>1.4092008273248702</v>
      </c>
      <c r="AJ210" s="11">
        <v>3.2629843113862851</v>
      </c>
      <c r="AK210" s="6"/>
      <c r="AL210" t="s">
        <v>1077</v>
      </c>
      <c r="AM210">
        <v>1</v>
      </c>
      <c r="AN210" s="6"/>
      <c r="AO210" s="20">
        <v>6.1341000000000001</v>
      </c>
      <c r="AP210" s="20">
        <v>8.0175000000000001</v>
      </c>
      <c r="AQ210" s="20">
        <v>2.8765000000000001</v>
      </c>
      <c r="AR210" s="20">
        <v>5.2355999999999998</v>
      </c>
      <c r="AS210" s="20">
        <v>4.4146999999999998</v>
      </c>
      <c r="AT210" s="20">
        <v>4.2880000000000003</v>
      </c>
      <c r="AU210" s="20">
        <v>4.6104000000000003</v>
      </c>
      <c r="AV210" s="20">
        <v>2.7363</v>
      </c>
      <c r="AW210" s="6"/>
      <c r="AX210" s="18">
        <v>4.1419999999999998E-10</v>
      </c>
      <c r="AY210" s="18">
        <v>2.3380000000000001E-15</v>
      </c>
      <c r="AZ210" s="18">
        <v>1.8220000000000001E-3</v>
      </c>
      <c r="BA210" s="18">
        <v>2.3450000000000002E-8</v>
      </c>
      <c r="BB210" s="18">
        <v>4.6020000000000002E-4</v>
      </c>
      <c r="BC210" s="18">
        <v>6.8659999999999999E-4</v>
      </c>
      <c r="BD210" s="18">
        <v>3.534E-6</v>
      </c>
      <c r="BE210" s="18">
        <v>2.2659999999999998E-3</v>
      </c>
      <c r="BF210" s="13"/>
      <c r="BG210" t="s">
        <v>1299</v>
      </c>
      <c r="BH210" t="s">
        <v>1318</v>
      </c>
      <c r="BI210" t="s">
        <v>1113</v>
      </c>
      <c r="BJ210" t="s">
        <v>1127</v>
      </c>
      <c r="BK210" t="s">
        <v>1115</v>
      </c>
      <c r="BL210" t="s">
        <v>1246</v>
      </c>
      <c r="BM210" t="s">
        <v>1117</v>
      </c>
      <c r="BN210" s="13"/>
      <c r="BO210" t="s">
        <v>973</v>
      </c>
      <c r="BP210" t="s">
        <v>973</v>
      </c>
      <c r="BQ210" t="s">
        <v>973</v>
      </c>
      <c r="BR210" t="s">
        <v>973</v>
      </c>
    </row>
    <row r="211" spans="1:70" x14ac:dyDescent="0.25">
      <c r="A211" t="s">
        <v>695</v>
      </c>
      <c r="B211" t="s">
        <v>696</v>
      </c>
      <c r="C211" t="s">
        <v>100</v>
      </c>
      <c r="D211" s="6"/>
      <c r="E211" s="9" t="str">
        <f>HYPERLINK("http://plants.ensembl.org/Triticum_aestivum/Gene/Summary?g=TRIAE_CS42_5BL_TGACv1_404526_AA1302970","TRIAE_CS42_5BL_TGACv1_404526_AA1302970")</f>
        <v>TRIAE_CS42_5BL_TGACv1_404526_AA1302970</v>
      </c>
      <c r="F211" s="9" t="str">
        <f>HYPERLINK("http://mar2016-plants.ensembl.org/Triticum_aestivum/Gene/Summary?db=core;g=Traes_5BL_26F390144","Traes_5BL_26F390144")</f>
        <v>Traes_5BL_26F390144</v>
      </c>
      <c r="H211" s="1" t="s">
        <v>1051</v>
      </c>
      <c r="I211" s="1" t="s">
        <v>1051</v>
      </c>
      <c r="J211" s="1" t="s">
        <v>1051</v>
      </c>
      <c r="L211" s="6"/>
      <c r="M211" s="1" t="s">
        <v>973</v>
      </c>
      <c r="N211" s="1" t="s">
        <v>973</v>
      </c>
      <c r="O211" s="1" t="s">
        <v>973</v>
      </c>
      <c r="P211" s="1" t="s">
        <v>973</v>
      </c>
      <c r="Q211" s="1">
        <v>1</v>
      </c>
      <c r="R211" s="1" t="s">
        <v>973</v>
      </c>
      <c r="S211" s="1"/>
      <c r="T211" s="6"/>
      <c r="U211" s="11">
        <v>7.5960207483766995</v>
      </c>
      <c r="V211" s="11">
        <v>7.8116512705204837</v>
      </c>
      <c r="W211" s="11">
        <v>6.587593019551786</v>
      </c>
      <c r="X211" s="11">
        <v>7.3336673229995366</v>
      </c>
      <c r="Y211" s="11">
        <v>6.0187209575397409</v>
      </c>
      <c r="Z211" s="11">
        <v>5.6706401994156224</v>
      </c>
      <c r="AA211" s="11">
        <v>6.4355124759844511</v>
      </c>
      <c r="AB211" s="11">
        <v>6.0535964986870523</v>
      </c>
      <c r="AC211" s="11">
        <v>2.9670948105024628</v>
      </c>
      <c r="AD211" s="11">
        <v>3.5910689904754038</v>
      </c>
      <c r="AE211" s="11">
        <v>3.7686042776182327</v>
      </c>
      <c r="AF211" s="11">
        <v>3.7842003359105387</v>
      </c>
      <c r="AG211" s="11">
        <v>1.9778904588627686</v>
      </c>
      <c r="AH211" s="11">
        <v>1.8376876369111121</v>
      </c>
      <c r="AI211" s="11">
        <v>2.7608596368219076</v>
      </c>
      <c r="AJ211" s="11">
        <v>2.893957547507501</v>
      </c>
      <c r="AK211" s="6"/>
      <c r="AL211" t="s">
        <v>1077</v>
      </c>
      <c r="AM211">
        <v>725</v>
      </c>
      <c r="AN211" s="6"/>
      <c r="AO211" s="20">
        <v>4.7803000000000004</v>
      </c>
      <c r="AP211" s="20">
        <v>4.1692</v>
      </c>
      <c r="AQ211" s="20">
        <v>2.8715999999999999</v>
      </c>
      <c r="AR211" s="20">
        <v>3.5547</v>
      </c>
      <c r="AS211" s="20">
        <v>4.2789999999999999</v>
      </c>
      <c r="AT211" s="20">
        <v>4.1158999999999999</v>
      </c>
      <c r="AU211" s="20">
        <v>3.8262</v>
      </c>
      <c r="AV211" s="20">
        <v>3.2820999999999998</v>
      </c>
      <c r="AW211" s="6"/>
      <c r="AX211" s="18">
        <v>2.7850000000000001E-15</v>
      </c>
      <c r="AY211" s="18">
        <v>2.516E-11</v>
      </c>
      <c r="AZ211" s="18">
        <v>3.446E-7</v>
      </c>
      <c r="BA211" s="18">
        <v>2.9280000000000001E-10</v>
      </c>
      <c r="BB211" s="18">
        <v>5.9820000000000002E-12</v>
      </c>
      <c r="BC211" s="18">
        <v>2.8149999999999999E-9</v>
      </c>
      <c r="BD211" s="18">
        <v>1.8679999999999999E-10</v>
      </c>
      <c r="BE211" s="18">
        <v>3.7720000000000003E-8</v>
      </c>
      <c r="BF211" s="13"/>
      <c r="BG211" t="s">
        <v>1299</v>
      </c>
      <c r="BH211" t="s">
        <v>1309</v>
      </c>
      <c r="BI211" t="s">
        <v>1113</v>
      </c>
      <c r="BJ211" t="s">
        <v>1114</v>
      </c>
      <c r="BK211" t="s">
        <v>1115</v>
      </c>
      <c r="BL211" t="s">
        <v>1246</v>
      </c>
      <c r="BM211" t="s">
        <v>1117</v>
      </c>
      <c r="BN211" s="13"/>
      <c r="BO211" t="s">
        <v>973</v>
      </c>
      <c r="BP211" t="s">
        <v>973</v>
      </c>
      <c r="BQ211" t="s">
        <v>973</v>
      </c>
      <c r="BR211" t="s">
        <v>973</v>
      </c>
    </row>
    <row r="212" spans="1:70" x14ac:dyDescent="0.25">
      <c r="A212" t="s">
        <v>713</v>
      </c>
      <c r="B212" t="s">
        <v>714</v>
      </c>
      <c r="C212" t="s">
        <v>100</v>
      </c>
      <c r="D212" s="6"/>
      <c r="E212" s="9" t="str">
        <f>HYPERLINK("http://plants.ensembl.org/Triticum_aestivum/Gene/Summary?g=TRIAE_CS42_5BL_TGACv1_406562_AA1347100","TRIAE_CS42_5BL_TGACv1_406562_AA1347100")</f>
        <v>TRIAE_CS42_5BL_TGACv1_406562_AA1347100</v>
      </c>
      <c r="F212" s="9" t="str">
        <f>HYPERLINK("http://mar2016-plants.ensembl.org/Triticum_aestivum/Gene/Summary?db=core;g=Traes_5BL_E7AC055A0","Traes_5BL_E7AC055A0")</f>
        <v>Traes_5BL_E7AC055A0</v>
      </c>
      <c r="H212" s="8" t="str">
        <f>HYPERLINK("http://plants.ensembl.org/Brachypodium_distachyon/Gene/Summary?g=Bradi1g00900","Bradi1g00900")</f>
        <v>Bradi1g00900</v>
      </c>
      <c r="I212" s="1" t="s">
        <v>1051</v>
      </c>
      <c r="J212" s="9" t="str">
        <f>HYPERLINK("http://plants.ensembl.org/Oryza_sativa/Gene/Summary?db=otherfeatures;g=LOC_Os03g64070","LOC_Os03g64070")</f>
        <v>LOC_Os03g64070</v>
      </c>
      <c r="L212" s="6"/>
      <c r="M212" s="1" t="s">
        <v>973</v>
      </c>
      <c r="N212" s="1" t="s">
        <v>973</v>
      </c>
      <c r="O212" s="1" t="s">
        <v>973</v>
      </c>
      <c r="P212" s="1" t="s">
        <v>973</v>
      </c>
      <c r="Q212" s="1">
        <v>1</v>
      </c>
      <c r="R212" s="1" t="s">
        <v>973</v>
      </c>
      <c r="S212" s="1"/>
      <c r="T212" s="6"/>
      <c r="U212" s="11">
        <v>6.792920407490266</v>
      </c>
      <c r="V212" s="11">
        <v>10.229064368556742</v>
      </c>
      <c r="W212" s="11">
        <v>5.3237075231871707</v>
      </c>
      <c r="X212" s="11">
        <v>7.6964573361487814</v>
      </c>
      <c r="Y212" s="11">
        <v>5.9056958701617246</v>
      </c>
      <c r="Z212" s="11">
        <v>6.7045473953224688</v>
      </c>
      <c r="AA212" s="11">
        <v>6.7034675853300678</v>
      </c>
      <c r="AB212" s="11">
        <v>6.1713002493607956</v>
      </c>
      <c r="AC212" s="11">
        <v>3.1053596040168649</v>
      </c>
      <c r="AD212" s="11">
        <v>4.6287463816189609</v>
      </c>
      <c r="AE212" s="11">
        <v>3.4234257813512921</v>
      </c>
      <c r="AF212" s="11">
        <v>3.1951795891173145</v>
      </c>
      <c r="AG212" s="11">
        <v>1.7137251376153011</v>
      </c>
      <c r="AH212" s="11">
        <v>2.2451508189146057</v>
      </c>
      <c r="AI212" s="11">
        <v>3.0886221889607612</v>
      </c>
      <c r="AJ212" s="11">
        <v>4.3412101257561559</v>
      </c>
      <c r="AK212" s="6"/>
      <c r="AL212" t="s">
        <v>1077</v>
      </c>
      <c r="AM212">
        <v>8</v>
      </c>
      <c r="AN212" s="6"/>
      <c r="AO212" s="20">
        <v>3.7658999999999998</v>
      </c>
      <c r="AP212" s="20">
        <v>5.6323999999999996</v>
      </c>
      <c r="AQ212" s="20">
        <v>1.9293</v>
      </c>
      <c r="AR212" s="20">
        <v>4.4433999999999996</v>
      </c>
      <c r="AS212" s="20">
        <v>4.4824000000000002</v>
      </c>
      <c r="AT212" s="20">
        <v>4.5933999999999999</v>
      </c>
      <c r="AU212" s="20">
        <v>3.6383000000000001</v>
      </c>
      <c r="AV212" s="20">
        <v>1.8149</v>
      </c>
      <c r="AW212" s="6"/>
      <c r="AX212" s="18">
        <v>1.402E-5</v>
      </c>
      <c r="AY212" s="18">
        <v>6.7559999999999997E-11</v>
      </c>
      <c r="AZ212" s="18">
        <v>2.3550000000000001E-2</v>
      </c>
      <c r="BA212" s="18">
        <v>1.9780000000000001E-7</v>
      </c>
      <c r="BB212" s="18">
        <v>5.4089999999999998E-7</v>
      </c>
      <c r="BC212" s="18">
        <v>2.8560000000000002E-7</v>
      </c>
      <c r="BD212" s="18">
        <v>2.0380000000000001E-5</v>
      </c>
      <c r="BE212" s="18">
        <v>2.9919999999999999E-2</v>
      </c>
      <c r="BF212" s="13"/>
      <c r="BG212" t="s">
        <v>1337</v>
      </c>
      <c r="BH212" t="s">
        <v>1126</v>
      </c>
      <c r="BI212" t="s">
        <v>1113</v>
      </c>
      <c r="BJ212" t="s">
        <v>1251</v>
      </c>
      <c r="BK212" t="s">
        <v>1115</v>
      </c>
      <c r="BL212" t="s">
        <v>1116</v>
      </c>
      <c r="BM212" t="s">
        <v>1117</v>
      </c>
      <c r="BN212" s="13"/>
      <c r="BO212" t="s">
        <v>973</v>
      </c>
      <c r="BP212" t="s">
        <v>973</v>
      </c>
      <c r="BQ212" t="s">
        <v>973</v>
      </c>
      <c r="BR212" t="s">
        <v>973</v>
      </c>
    </row>
    <row r="213" spans="1:70" x14ac:dyDescent="0.25">
      <c r="A213" t="s">
        <v>743</v>
      </c>
      <c r="B213" t="s">
        <v>744</v>
      </c>
      <c r="C213" t="s">
        <v>100</v>
      </c>
      <c r="D213" s="6"/>
      <c r="E213" s="9" t="str">
        <f>HYPERLINK("http://plants.ensembl.org/Triticum_aestivum/Gene/Summary?g=TRIAE_CS42_5DL_TGACv1_433841_AA1423520","TRIAE_CS42_5DL_TGACv1_433841_AA1423520")</f>
        <v>TRIAE_CS42_5DL_TGACv1_433841_AA1423520</v>
      </c>
      <c r="F213" s="9" t="str">
        <f>HYPERLINK("http://mar2016-plants.ensembl.org/Triticum_aestivum/Gene/Summary?db=core;g=Traes_5DL_5C5BE1C3D","Traes_5DL_5C5BE1C3D")</f>
        <v>Traes_5DL_5C5BE1C3D</v>
      </c>
      <c r="H213" s="8" t="str">
        <f>HYPERLINK("http://plants.ensembl.org/Brachypodium_distachyon/Gene/Summary?g=Bradi4g37070","Bradi4g37070")</f>
        <v>Bradi4g37070</v>
      </c>
      <c r="I213" s="8" t="str">
        <f>HYPERLINK("http://plants.ensembl.org/Arabidopsis_thaliana/Gene/Summary?g=AT4G35190","AT4G35190")</f>
        <v>AT4G35190</v>
      </c>
      <c r="J213" s="9" t="str">
        <f>HYPERLINK("http://plants.ensembl.org/Oryza_sativa/Gene/Summary?db=otherfeatures;g=LOC_Os09g37540","LOC_Os09g37540")</f>
        <v>LOC_Os09g37540</v>
      </c>
      <c r="L213" s="6"/>
      <c r="M213" s="1" t="s">
        <v>973</v>
      </c>
      <c r="N213" s="1" t="s">
        <v>973</v>
      </c>
      <c r="O213" s="1" t="s">
        <v>973</v>
      </c>
      <c r="P213" s="1" t="s">
        <v>973</v>
      </c>
      <c r="Q213" s="1">
        <v>1</v>
      </c>
      <c r="R213" s="1" t="s">
        <v>973</v>
      </c>
      <c r="S213" s="1"/>
      <c r="T213" s="6"/>
      <c r="U213" s="11">
        <v>6.9029305782953321</v>
      </c>
      <c r="V213" s="11">
        <v>6.8791564019534412</v>
      </c>
      <c r="W213" s="11">
        <v>6.2347203701943137</v>
      </c>
      <c r="X213" s="11">
        <v>7.0425600756045954</v>
      </c>
      <c r="Y213" s="11">
        <v>6.1951349583832798</v>
      </c>
      <c r="Z213" s="11">
        <v>5.6504869437922132</v>
      </c>
      <c r="AA213" s="11">
        <v>5.9938328412015949</v>
      </c>
      <c r="AB213" s="11">
        <v>5.7469209280476639</v>
      </c>
      <c r="AC213" s="11">
        <v>3.1850101864521623</v>
      </c>
      <c r="AD213" s="11">
        <v>0.70327792398137323</v>
      </c>
      <c r="AE213" s="11">
        <v>2.722458738114101</v>
      </c>
      <c r="AF213" s="11">
        <v>3.1957465417863919</v>
      </c>
      <c r="AG213" s="11">
        <v>2.4116612520927765</v>
      </c>
      <c r="AH213" s="11">
        <v>1.3630028229886793</v>
      </c>
      <c r="AI213" s="11">
        <v>2.0435778185416047</v>
      </c>
      <c r="AJ213" s="11">
        <v>1.7210955420800405</v>
      </c>
      <c r="AK213" s="6"/>
      <c r="AL213" t="s">
        <v>1077</v>
      </c>
      <c r="AM213">
        <v>1239</v>
      </c>
      <c r="AN213" s="6"/>
      <c r="AO213" s="20">
        <v>3.923</v>
      </c>
      <c r="AP213" s="20">
        <v>6.4187000000000003</v>
      </c>
      <c r="AQ213" s="20">
        <v>3.6385999999999998</v>
      </c>
      <c r="AR213" s="20">
        <v>3.9116</v>
      </c>
      <c r="AS213" s="20">
        <v>3.8875000000000002</v>
      </c>
      <c r="AT213" s="20">
        <v>4.8320999999999996</v>
      </c>
      <c r="AU213" s="20">
        <v>4.2407000000000004</v>
      </c>
      <c r="AV213" s="20">
        <v>4.3895</v>
      </c>
      <c r="AW213" s="6"/>
      <c r="AX213" s="18">
        <v>2.8699999999999998E-11</v>
      </c>
      <c r="AY213" s="18">
        <v>2.6209999999999998E-12</v>
      </c>
      <c r="AZ213" s="18">
        <v>8.8609999999999997E-10</v>
      </c>
      <c r="BA213" s="18">
        <v>8.8210000000000005E-12</v>
      </c>
      <c r="BB213" s="18">
        <v>2.321E-11</v>
      </c>
      <c r="BC213" s="18">
        <v>3.4189999999999998E-10</v>
      </c>
      <c r="BD213" s="18">
        <v>4.7490000000000002E-11</v>
      </c>
      <c r="BE213" s="18">
        <v>1.301E-10</v>
      </c>
      <c r="BF213" s="13"/>
      <c r="BG213" t="s">
        <v>1299</v>
      </c>
      <c r="BH213" t="s">
        <v>1112</v>
      </c>
      <c r="BI213" t="s">
        <v>1113</v>
      </c>
      <c r="BJ213" t="s">
        <v>1114</v>
      </c>
      <c r="BK213" t="s">
        <v>1115</v>
      </c>
      <c r="BL213" t="s">
        <v>1246</v>
      </c>
      <c r="BM213" t="s">
        <v>1117</v>
      </c>
      <c r="BN213" s="13"/>
      <c r="BO213" t="s">
        <v>973</v>
      </c>
      <c r="BP213" t="s">
        <v>973</v>
      </c>
      <c r="BQ213" t="s">
        <v>973</v>
      </c>
      <c r="BR213" t="s">
        <v>973</v>
      </c>
    </row>
    <row r="214" spans="1:70" x14ac:dyDescent="0.25">
      <c r="A214" t="s">
        <v>756</v>
      </c>
      <c r="B214" t="s">
        <v>757</v>
      </c>
      <c r="C214" t="s">
        <v>100</v>
      </c>
      <c r="D214" s="6"/>
      <c r="H214" s="8" t="str">
        <f>HYPERLINK("http://plants.ensembl.org/Brachypodium_distachyon/Gene/Summary?g=Bradi1g00900","Bradi1g00900")</f>
        <v>Bradi1g00900</v>
      </c>
      <c r="I214" s="1" t="s">
        <v>1051</v>
      </c>
      <c r="J214" s="9" t="str">
        <f>HYPERLINK("http://plants.ensembl.org/Oryza_sativa/Gene/Summary?db=otherfeatures;g=LOC_Os03g64070","LOC_Os03g64070")</f>
        <v>LOC_Os03g64070</v>
      </c>
      <c r="L214" s="6"/>
      <c r="M214" s="1" t="s">
        <v>973</v>
      </c>
      <c r="N214" s="1" t="s">
        <v>973</v>
      </c>
      <c r="O214" s="1" t="s">
        <v>973</v>
      </c>
      <c r="P214" s="1" t="s">
        <v>973</v>
      </c>
      <c r="Q214" s="1">
        <v>1</v>
      </c>
      <c r="R214" s="1" t="s">
        <v>973</v>
      </c>
      <c r="S214" s="1"/>
      <c r="T214" s="6"/>
      <c r="U214" s="11">
        <v>8.4743178689468408</v>
      </c>
      <c r="V214" s="11">
        <v>11.301781695361564</v>
      </c>
      <c r="W214" s="11">
        <v>6.7712777266355886</v>
      </c>
      <c r="X214" s="11">
        <v>8.2619264427982895</v>
      </c>
      <c r="Y214" s="11">
        <v>7.7833499150760064</v>
      </c>
      <c r="Z214" s="11">
        <v>7.5070056983855036</v>
      </c>
      <c r="AA214" s="11">
        <v>6.8597389337336461</v>
      </c>
      <c r="AB214" s="11">
        <v>7.0425465786679045</v>
      </c>
      <c r="AC214" s="11">
        <v>3.6186537035809212</v>
      </c>
      <c r="AD214" s="11">
        <v>3.9044712524793765</v>
      </c>
      <c r="AE214" s="11">
        <v>3.2675707539113832</v>
      </c>
      <c r="AF214" s="11">
        <v>2.5704062583905656</v>
      </c>
      <c r="AG214" s="11">
        <v>2.4366771224509995</v>
      </c>
      <c r="AH214" s="11">
        <v>1.7655771779460714</v>
      </c>
      <c r="AI214" s="11">
        <v>2.8799997638462349</v>
      </c>
      <c r="AJ214" s="11">
        <v>3.4147444220820029</v>
      </c>
      <c r="AK214" s="6"/>
      <c r="AL214" t="s">
        <v>1077</v>
      </c>
      <c r="AM214" s="12">
        <v>3485</v>
      </c>
      <c r="AN214" s="6"/>
      <c r="AO214" s="20">
        <v>4.8507999999999996</v>
      </c>
      <c r="AP214" s="20">
        <v>7.5045000000000002</v>
      </c>
      <c r="AQ214" s="20">
        <v>3.5222000000000002</v>
      </c>
      <c r="AR214" s="20">
        <v>5.6292</v>
      </c>
      <c r="AS214" s="20">
        <v>5.4394999999999998</v>
      </c>
      <c r="AT214" s="20">
        <v>5.9451999999999998</v>
      </c>
      <c r="AU214" s="20">
        <v>4.0323000000000002</v>
      </c>
      <c r="AV214" s="20">
        <v>3.6269999999999998</v>
      </c>
      <c r="AW214" s="6"/>
      <c r="AX214" s="18">
        <v>2.9899999999999998E-9</v>
      </c>
      <c r="AY214" s="18">
        <v>1.7710000000000001E-18</v>
      </c>
      <c r="AZ214" s="18">
        <v>1.7479999999999999E-5</v>
      </c>
      <c r="BA214" s="18">
        <v>2.2659999999999999E-11</v>
      </c>
      <c r="BB214" s="18">
        <v>5.1200000000000002E-11</v>
      </c>
      <c r="BC214" s="18">
        <v>3.6069999999999998E-11</v>
      </c>
      <c r="BD214" s="18">
        <v>1.147E-6</v>
      </c>
      <c r="BE214" s="18">
        <v>8.6950000000000006E-6</v>
      </c>
      <c r="BF214" s="13"/>
      <c r="BG214" t="s">
        <v>1131</v>
      </c>
      <c r="BH214" t="s">
        <v>1126</v>
      </c>
      <c r="BI214" t="s">
        <v>1113</v>
      </c>
      <c r="BJ214" t="s">
        <v>1127</v>
      </c>
      <c r="BK214" t="s">
        <v>1115</v>
      </c>
      <c r="BL214" t="s">
        <v>1116</v>
      </c>
      <c r="BM214" t="s">
        <v>1117</v>
      </c>
      <c r="BN214" s="13"/>
      <c r="BO214" t="s">
        <v>973</v>
      </c>
      <c r="BP214" t="s">
        <v>973</v>
      </c>
      <c r="BQ214" t="s">
        <v>973</v>
      </c>
      <c r="BR214" t="s">
        <v>973</v>
      </c>
    </row>
    <row r="215" spans="1:70" x14ac:dyDescent="0.25">
      <c r="A215" t="s">
        <v>501</v>
      </c>
      <c r="B215" t="s">
        <v>502</v>
      </c>
      <c r="C215" t="s">
        <v>503</v>
      </c>
      <c r="D215" s="6"/>
      <c r="E215" s="9" t="str">
        <f>HYPERLINK("http://plants.ensembl.org/Triticum_aestivum/Gene/Summary?g=TRIAE_CS42_4AL_TGACv1_289219_AA0967510","TRIAE_CS42_4AL_TGACv1_289219_AA0967510")</f>
        <v>TRIAE_CS42_4AL_TGACv1_289219_AA0967510</v>
      </c>
      <c r="F215" s="9" t="str">
        <f>HYPERLINK("http://mar2016-plants.ensembl.org/Triticum_aestivum/Gene/Summary?db=core;g=Traes_4AL_2BA6C8EA2","Traes_4AL_2BA6C8EA2")</f>
        <v>Traes_4AL_2BA6C8EA2</v>
      </c>
      <c r="H215" s="8" t="str">
        <f>HYPERLINK("http://plants.ensembl.org/Brachypodium_distachyon/Gene/Summary?g=Bradi1g11650","Bradi1g11650")</f>
        <v>Bradi1g11650</v>
      </c>
      <c r="I215" s="1" t="s">
        <v>1051</v>
      </c>
      <c r="J215" s="9" t="str">
        <f>HYPERLINK("http://plants.ensembl.org/Oryza_sativa/Gene/Summary?db=otherfeatures;g=LOC_Os07g06130","LOC_Os07g06130")</f>
        <v>LOC_Os07g06130</v>
      </c>
      <c r="L215" s="6"/>
      <c r="M215" s="1" t="s">
        <v>973</v>
      </c>
      <c r="N215" s="1" t="s">
        <v>973</v>
      </c>
      <c r="O215" s="1">
        <v>1</v>
      </c>
      <c r="P215" s="1" t="s">
        <v>973</v>
      </c>
      <c r="Q215" s="1" t="s">
        <v>973</v>
      </c>
      <c r="R215" s="1" t="s">
        <v>973</v>
      </c>
      <c r="S215" s="1"/>
      <c r="T215" s="6"/>
      <c r="U215" s="11">
        <v>1.6414073017408244</v>
      </c>
      <c r="V215" s="11">
        <v>0</v>
      </c>
      <c r="W215" s="11">
        <v>6.1219520195038877</v>
      </c>
      <c r="X215" s="11">
        <v>5.6986120720594746</v>
      </c>
      <c r="Y215" s="11">
        <v>5.5667410897061469</v>
      </c>
      <c r="Z215" s="11">
        <v>5.421755163406635</v>
      </c>
      <c r="AA215" s="11">
        <v>5.7136234216981716</v>
      </c>
      <c r="AB215" s="11">
        <v>6.426296627845101</v>
      </c>
      <c r="AC215" s="11">
        <v>1.0399805976908814</v>
      </c>
      <c r="AD215" s="11">
        <v>0.71861369897548444</v>
      </c>
      <c r="AE215" s="11">
        <v>6.7210918954436787</v>
      </c>
      <c r="AF215" s="11">
        <v>6.5179113259778267</v>
      </c>
      <c r="AG215" s="11">
        <v>6.6028844087184186</v>
      </c>
      <c r="AH215" s="11">
        <v>6.4314920326516729</v>
      </c>
      <c r="AI215" s="11">
        <v>7.2354006169840597</v>
      </c>
      <c r="AJ215" s="11">
        <v>7.0385415352854688</v>
      </c>
      <c r="AK215" s="6"/>
      <c r="AL215" t="s">
        <v>1085</v>
      </c>
      <c r="AM215">
        <v>0</v>
      </c>
      <c r="AN215" s="6"/>
      <c r="AO215" s="20">
        <v>1.4849000000000001</v>
      </c>
      <c r="AP215" s="20">
        <v>-0.2024</v>
      </c>
      <c r="AQ215" s="20">
        <v>-0.60419999999999996</v>
      </c>
      <c r="AR215" s="20">
        <v>-0.82279999999999998</v>
      </c>
      <c r="AS215" s="20">
        <v>-1.0407</v>
      </c>
      <c r="AT215" s="20">
        <v>-1.0238</v>
      </c>
      <c r="AU215" s="20">
        <v>-1.5404</v>
      </c>
      <c r="AV215" s="20">
        <v>-0.61480000000000001</v>
      </c>
      <c r="AW215" s="6"/>
      <c r="AX215" s="18">
        <v>0.1178</v>
      </c>
      <c r="AY215" s="18">
        <v>0.87590000000000001</v>
      </c>
      <c r="AZ215" s="18">
        <v>1.1820000000000001E-2</v>
      </c>
      <c r="BA215" s="18">
        <v>1.0679999999999999E-3</v>
      </c>
      <c r="BB215" s="18">
        <v>2.9600000000000001E-5</v>
      </c>
      <c r="BC215" s="18">
        <v>5.715E-5</v>
      </c>
      <c r="BD215" s="18">
        <v>1.087E-10</v>
      </c>
      <c r="BE215" s="18">
        <v>9.7560000000000008E-3</v>
      </c>
      <c r="BF215" s="13"/>
      <c r="BG215" t="s">
        <v>1227</v>
      </c>
      <c r="BH215" t="s">
        <v>1112</v>
      </c>
      <c r="BI215" t="s">
        <v>1364</v>
      </c>
      <c r="BJ215" t="s">
        <v>1114</v>
      </c>
      <c r="BK215" t="s">
        <v>1115</v>
      </c>
      <c r="BL215" t="s">
        <v>1116</v>
      </c>
      <c r="BM215" t="s">
        <v>1117</v>
      </c>
      <c r="BN215" s="13"/>
      <c r="BO215" t="s">
        <v>973</v>
      </c>
      <c r="BP215" t="s">
        <v>973</v>
      </c>
      <c r="BQ215" t="s">
        <v>973</v>
      </c>
      <c r="BR215" t="s">
        <v>973</v>
      </c>
    </row>
    <row r="216" spans="1:70" x14ac:dyDescent="0.25">
      <c r="A216" t="s">
        <v>674</v>
      </c>
      <c r="B216" t="s">
        <v>502</v>
      </c>
      <c r="C216" t="s">
        <v>503</v>
      </c>
      <c r="D216" s="6"/>
      <c r="E216" s="9" t="str">
        <f>HYPERLINK("http://plants.ensembl.org/Triticum_aestivum/Gene/Summary?g=TRIAE_CS42_5BL_TGACv1_404768_AA1310430","TRIAE_CS42_5BL_TGACv1_404768_AA1310430")</f>
        <v>TRIAE_CS42_5BL_TGACv1_404768_AA1310430</v>
      </c>
      <c r="H216" s="8" t="str">
        <f>HYPERLINK("http://plants.ensembl.org/Brachypodium_distachyon/Gene/Summary?g=Bradi4g08380","Bradi4g08380")</f>
        <v>Bradi4g08380</v>
      </c>
      <c r="I216" s="8" t="str">
        <f>HYPERLINK("http://plants.ensembl.org/Arabidopsis_thaliana/Gene/Summary?g=AT5G03280","AT5G03280")</f>
        <v>AT5G03280</v>
      </c>
      <c r="J216" s="9" t="str">
        <f>HYPERLINK("http://plants.ensembl.org/Oryza_sativa/Gene/Summary?db=otherfeatures;g=LOC_Os03g49400","LOC_Os03g49400")</f>
        <v>LOC_Os03g49400</v>
      </c>
      <c r="L216" s="6"/>
      <c r="M216" s="1" t="s">
        <v>973</v>
      </c>
      <c r="N216" s="1" t="s">
        <v>973</v>
      </c>
      <c r="O216" s="1">
        <v>1</v>
      </c>
      <c r="P216" s="1" t="s">
        <v>973</v>
      </c>
      <c r="Q216" s="1" t="s">
        <v>973</v>
      </c>
      <c r="R216" s="1" t="s">
        <v>973</v>
      </c>
      <c r="S216" s="1"/>
      <c r="T216" s="6"/>
      <c r="U216" s="11">
        <v>6.29188039670768</v>
      </c>
      <c r="V216" s="11">
        <v>6.0349669233949221</v>
      </c>
      <c r="W216" s="11">
        <v>7.3182710407654179</v>
      </c>
      <c r="X216" s="11">
        <v>7.1979567753919147</v>
      </c>
      <c r="Y216" s="11">
        <v>6.5200948023640075</v>
      </c>
      <c r="Z216" s="11">
        <v>7.0503866922776153</v>
      </c>
      <c r="AA216" s="11">
        <v>6.9616495644793792</v>
      </c>
      <c r="AB216" s="11">
        <v>7.7025319577115008</v>
      </c>
      <c r="AC216" s="11">
        <v>7.9420638371154704</v>
      </c>
      <c r="AD216" s="11">
        <v>8.0067978755689957</v>
      </c>
      <c r="AE216" s="11">
        <v>8.3178810743958689</v>
      </c>
      <c r="AF216" s="11">
        <v>8.2172911504326063</v>
      </c>
      <c r="AG216" s="11">
        <v>7.9037573489345228</v>
      </c>
      <c r="AH216" s="11">
        <v>8.1489668033458003</v>
      </c>
      <c r="AI216" s="11">
        <v>8.2859229439510358</v>
      </c>
      <c r="AJ216" s="11">
        <v>8.026807803851522</v>
      </c>
      <c r="AK216" s="6"/>
      <c r="AL216" t="s">
        <v>1088</v>
      </c>
      <c r="AM216">
        <v>2</v>
      </c>
      <c r="AN216" s="6"/>
      <c r="AO216" s="20">
        <v>-1.5609</v>
      </c>
      <c r="AP216" s="20">
        <v>-2.1345999999999998</v>
      </c>
      <c r="AQ216" s="20">
        <v>-1.0002</v>
      </c>
      <c r="AR216" s="20">
        <v>-1.0212000000000001</v>
      </c>
      <c r="AS216" s="20">
        <v>-1.3875999999999999</v>
      </c>
      <c r="AT216" s="20">
        <v>-1.1015999999999999</v>
      </c>
      <c r="AU216" s="20">
        <v>-1.3229</v>
      </c>
      <c r="AV216" s="20">
        <v>-0.32450000000000001</v>
      </c>
      <c r="AW216" s="6"/>
      <c r="AX216" s="18">
        <v>5.91E-8</v>
      </c>
      <c r="AY216" s="18">
        <v>2.3979999999999999E-10</v>
      </c>
      <c r="AZ216" s="18">
        <v>1.26E-4</v>
      </c>
      <c r="BA216" s="18">
        <v>1.042E-4</v>
      </c>
      <c r="BB216" s="18">
        <v>2.0980000000000001E-7</v>
      </c>
      <c r="BC216" s="18">
        <v>2.8710000000000001E-5</v>
      </c>
      <c r="BD216" s="18">
        <v>4.2020000000000002E-7</v>
      </c>
      <c r="BE216" s="18">
        <v>0.21429999999999999</v>
      </c>
      <c r="BF216" s="13"/>
      <c r="BG216" t="s">
        <v>1176</v>
      </c>
      <c r="BH216" t="s">
        <v>1157</v>
      </c>
      <c r="BI216" t="s">
        <v>1113</v>
      </c>
      <c r="BJ216" t="s">
        <v>1114</v>
      </c>
      <c r="BK216" t="s">
        <v>1115</v>
      </c>
      <c r="BL216" t="s">
        <v>1116</v>
      </c>
      <c r="BM216" t="s">
        <v>1117</v>
      </c>
      <c r="BN216" s="13"/>
      <c r="BO216" t="s">
        <v>973</v>
      </c>
      <c r="BP216" t="s">
        <v>973</v>
      </c>
      <c r="BQ216" t="s">
        <v>973</v>
      </c>
      <c r="BR216" t="s">
        <v>973</v>
      </c>
    </row>
    <row r="217" spans="1:70" x14ac:dyDescent="0.25">
      <c r="A217" t="s">
        <v>725</v>
      </c>
      <c r="B217" t="s">
        <v>502</v>
      </c>
      <c r="C217" t="s">
        <v>503</v>
      </c>
      <c r="D217" s="6"/>
      <c r="E217" s="9" t="str">
        <f>HYPERLINK("http://plants.ensembl.org/Triticum_aestivum/Gene/Summary?g=TRIAE_CS42_5DL_TGACv1_432971_AA1396370","TRIAE_CS42_5DL_TGACv1_432971_AA1396370")</f>
        <v>TRIAE_CS42_5DL_TGACv1_432971_AA1396370</v>
      </c>
      <c r="F217" s="9" t="str">
        <f>HYPERLINK("http://mar2016-plants.ensembl.org/Triticum_aestivum/Gene/Summary?db=core;g=Traes_5DL_DD957BA6D","Traes_5DL_DD957BA6D")</f>
        <v>Traes_5DL_DD957BA6D</v>
      </c>
      <c r="H217" s="8" t="str">
        <f>HYPERLINK("http://plants.ensembl.org/Brachypodium_distachyon/Gene/Summary?g=Bradi4g08380","Bradi4g08380")</f>
        <v>Bradi4g08380</v>
      </c>
      <c r="I217" s="8" t="str">
        <f>HYPERLINK("http://plants.ensembl.org/Arabidopsis_thaliana/Gene/Summary?g=AT5G03280","AT5G03280")</f>
        <v>AT5G03280</v>
      </c>
      <c r="J217" s="9" t="str">
        <f>HYPERLINK("http://plants.ensembl.org/Oryza_sativa/Gene/Summary?db=otherfeatures;g=LOC_Os03g49400","LOC_Os03g49400")</f>
        <v>LOC_Os03g49400</v>
      </c>
      <c r="L217" s="6"/>
      <c r="M217" s="1" t="s">
        <v>973</v>
      </c>
      <c r="N217" s="1" t="s">
        <v>973</v>
      </c>
      <c r="O217" s="1">
        <v>1</v>
      </c>
      <c r="P217" s="1" t="s">
        <v>973</v>
      </c>
      <c r="Q217" s="1" t="s">
        <v>973</v>
      </c>
      <c r="R217" s="1" t="s">
        <v>973</v>
      </c>
      <c r="S217" s="1"/>
      <c r="T217" s="6"/>
      <c r="U217" s="11">
        <v>6.3850703183415627</v>
      </c>
      <c r="V217" s="11">
        <v>6.0624534717388459</v>
      </c>
      <c r="W217" s="11">
        <v>7.2366919159324752</v>
      </c>
      <c r="X217" s="11">
        <v>7.0963338988514808</v>
      </c>
      <c r="Y217" s="11">
        <v>6.4658847012735681</v>
      </c>
      <c r="Z217" s="11">
        <v>7.038608840521082</v>
      </c>
      <c r="AA217" s="11">
        <v>6.9733686631796159</v>
      </c>
      <c r="AB217" s="11">
        <v>7.5738319617967313</v>
      </c>
      <c r="AC217" s="11">
        <v>7.7688325095305961</v>
      </c>
      <c r="AD217" s="11">
        <v>7.8002163447987503</v>
      </c>
      <c r="AE217" s="11">
        <v>8.2537477571659359</v>
      </c>
      <c r="AF217" s="11">
        <v>8.0483847873320062</v>
      </c>
      <c r="AG217" s="11">
        <v>7.7805316750154558</v>
      </c>
      <c r="AH217" s="11">
        <v>7.9264634345605236</v>
      </c>
      <c r="AI217" s="11">
        <v>8.2417874413706933</v>
      </c>
      <c r="AJ217" s="11">
        <v>8.0366974676327896</v>
      </c>
      <c r="AK217" s="6"/>
      <c r="AL217" t="s">
        <v>1088</v>
      </c>
      <c r="AM217">
        <v>2</v>
      </c>
      <c r="AN217" s="6"/>
      <c r="AO217" s="20">
        <v>-1.2995000000000001</v>
      </c>
      <c r="AP217" s="20">
        <v>-1.7177</v>
      </c>
      <c r="AQ217" s="20">
        <v>-1.0185</v>
      </c>
      <c r="AR217" s="20">
        <v>-0.9536</v>
      </c>
      <c r="AS217" s="20">
        <v>-1.3220000000000001</v>
      </c>
      <c r="AT217" s="20">
        <v>-0.88739999999999997</v>
      </c>
      <c r="AU217" s="20">
        <v>-1.2665999999999999</v>
      </c>
      <c r="AV217" s="20">
        <v>-0.4632</v>
      </c>
      <c r="AW217" s="6"/>
      <c r="AX217" s="18">
        <v>4.0949999999999998E-6</v>
      </c>
      <c r="AY217" s="18">
        <v>1.3159999999999999E-7</v>
      </c>
      <c r="AZ217" s="18">
        <v>7.0350000000000002E-5</v>
      </c>
      <c r="BA217" s="18">
        <v>2.33E-4</v>
      </c>
      <c r="BB217" s="18">
        <v>5.0419999999999998E-7</v>
      </c>
      <c r="BC217" s="18">
        <v>6.1109999999999995E-4</v>
      </c>
      <c r="BD217" s="18">
        <v>7.7960000000000002E-7</v>
      </c>
      <c r="BE217" s="18">
        <v>7.1150000000000005E-2</v>
      </c>
      <c r="BF217" s="13"/>
      <c r="BG217" t="s">
        <v>1409</v>
      </c>
      <c r="BH217" t="s">
        <v>1130</v>
      </c>
      <c r="BI217" t="s">
        <v>1113</v>
      </c>
      <c r="BJ217" t="s">
        <v>1114</v>
      </c>
      <c r="BK217" t="s">
        <v>1115</v>
      </c>
      <c r="BL217" t="s">
        <v>1116</v>
      </c>
      <c r="BM217" t="s">
        <v>1117</v>
      </c>
      <c r="BN217" s="13"/>
      <c r="BO217" t="s">
        <v>973</v>
      </c>
      <c r="BP217" t="s">
        <v>973</v>
      </c>
      <c r="BQ217" t="s">
        <v>973</v>
      </c>
      <c r="BR217" t="s">
        <v>973</v>
      </c>
    </row>
    <row r="218" spans="1:70" x14ac:dyDescent="0.25">
      <c r="A218" t="s">
        <v>496</v>
      </c>
      <c r="B218" t="s">
        <v>497</v>
      </c>
      <c r="C218" t="s">
        <v>498</v>
      </c>
      <c r="D218" s="6"/>
      <c r="E218" s="9" t="str">
        <f>HYPERLINK("http://plants.ensembl.org/Triticum_aestivum/Gene/Summary?g=TRIAE_CS42_4AL_TGACv1_289420_AA0970770","TRIAE_CS42_4AL_TGACv1_289420_AA0970770")</f>
        <v>TRIAE_CS42_4AL_TGACv1_289420_AA0970770</v>
      </c>
      <c r="F218" s="9" t="str">
        <f>HYPERLINK("http://mar2016-plants.ensembl.org/Triticum_aestivum/Gene/Summary?db=core;g=Traes_4AL_E7A048720","Traes_4AL_E7A048720")</f>
        <v>Traes_4AL_E7A048720</v>
      </c>
      <c r="H218" s="8" t="str">
        <f>HYPERLINK("http://plants.ensembl.org/Brachypodium_distachyon/Gene/Summary?g=Bradi1g14170","Bradi1g14170")</f>
        <v>Bradi1g14170</v>
      </c>
      <c r="I218" s="8" t="str">
        <f>HYPERLINK("http://plants.ensembl.org/Arabidopsis_thaliana/Gene/Summary?g=AT5G44300","AT5G44300")</f>
        <v>AT5G44300</v>
      </c>
      <c r="J218" s="9" t="str">
        <f>HYPERLINK("http://plants.ensembl.org/Oryza_sativa/Gene/Summary?db=otherfeatures;g=LOC_Os11g44810","LOC_Os11g44810")</f>
        <v>LOC_Os11g44810</v>
      </c>
      <c r="L218" s="6"/>
      <c r="M218" s="1" t="s">
        <v>973</v>
      </c>
      <c r="N218" s="1" t="s">
        <v>973</v>
      </c>
      <c r="O218" s="1" t="s">
        <v>973</v>
      </c>
      <c r="P218" s="1">
        <v>1</v>
      </c>
      <c r="Q218" s="1" t="s">
        <v>973</v>
      </c>
      <c r="R218" s="1" t="s">
        <v>973</v>
      </c>
      <c r="S218" s="1"/>
      <c r="T218" s="6"/>
      <c r="U218" s="11">
        <v>10.405871669274587</v>
      </c>
      <c r="V218" s="11">
        <v>10.534525706341299</v>
      </c>
      <c r="W218" s="11">
        <v>9.4406511208187727</v>
      </c>
      <c r="X218" s="11">
        <v>9.5741969603261321</v>
      </c>
      <c r="Y218" s="11">
        <v>10.232193411939464</v>
      </c>
      <c r="Z218" s="11">
        <v>9.9626721148472459</v>
      </c>
      <c r="AA218" s="11">
        <v>10.718086327814023</v>
      </c>
      <c r="AB218" s="11">
        <v>9.5142958124689958</v>
      </c>
      <c r="AC218" s="11">
        <v>10.979643714805922</v>
      </c>
      <c r="AD218" s="11">
        <v>11.055706142345267</v>
      </c>
      <c r="AE218" s="11">
        <v>9.5420671225539557</v>
      </c>
      <c r="AF218" s="11">
        <v>9.2594714089153669</v>
      </c>
      <c r="AG218" s="11">
        <v>9.9866727887019842</v>
      </c>
      <c r="AH218" s="11">
        <v>9.695271971950925</v>
      </c>
      <c r="AI218" s="11">
        <v>9.8651822200275117</v>
      </c>
      <c r="AJ218" s="11">
        <v>9.2186554172003099</v>
      </c>
      <c r="AK218" s="6"/>
      <c r="AL218" t="s">
        <v>1092</v>
      </c>
      <c r="AM218">
        <v>0</v>
      </c>
      <c r="AN218" s="6"/>
      <c r="AO218" s="20">
        <v>-0.56799999999999995</v>
      </c>
      <c r="AP218" s="20">
        <v>-0.52769999999999995</v>
      </c>
      <c r="AQ218" s="20">
        <v>-0.1007</v>
      </c>
      <c r="AR218" s="20">
        <v>0.31190000000000001</v>
      </c>
      <c r="AS218" s="20">
        <v>0.24460000000000001</v>
      </c>
      <c r="AT218" s="20">
        <v>0.26679999999999998</v>
      </c>
      <c r="AU218" s="20">
        <v>0.84770000000000001</v>
      </c>
      <c r="AV218" s="20">
        <v>0.29420000000000002</v>
      </c>
      <c r="AW218" s="6"/>
      <c r="AX218" s="18">
        <v>0.1166</v>
      </c>
      <c r="AY218" s="18">
        <v>0.14779999999999999</v>
      </c>
      <c r="AZ218" s="18">
        <v>0.78069999999999995</v>
      </c>
      <c r="BA218" s="18">
        <v>0.38929999999999998</v>
      </c>
      <c r="BB218" s="18">
        <v>0.49809999999999999</v>
      </c>
      <c r="BC218" s="18">
        <v>0.4607</v>
      </c>
      <c r="BD218" s="18">
        <v>1.8859999999999998E-2</v>
      </c>
      <c r="BE218" s="18">
        <v>0.41670000000000001</v>
      </c>
      <c r="BF218" s="13"/>
      <c r="BG218" t="s">
        <v>1111</v>
      </c>
      <c r="BH218" t="s">
        <v>1155</v>
      </c>
      <c r="BI218" t="s">
        <v>1356</v>
      </c>
      <c r="BJ218" t="s">
        <v>1217</v>
      </c>
      <c r="BK218" t="s">
        <v>1115</v>
      </c>
      <c r="BL218" t="s">
        <v>1214</v>
      </c>
      <c r="BM218" t="s">
        <v>1117</v>
      </c>
      <c r="BN218" s="13"/>
      <c r="BO218" t="s">
        <v>973</v>
      </c>
      <c r="BP218" t="s">
        <v>973</v>
      </c>
      <c r="BQ218" t="s">
        <v>973</v>
      </c>
      <c r="BR218" t="s">
        <v>973</v>
      </c>
    </row>
    <row r="219" spans="1:70" x14ac:dyDescent="0.25">
      <c r="A219" t="s">
        <v>535</v>
      </c>
      <c r="B219" t="s">
        <v>497</v>
      </c>
      <c r="C219" t="s">
        <v>498</v>
      </c>
      <c r="D219" s="6"/>
      <c r="E219" s="9" t="str">
        <f>HYPERLINK("http://plants.ensembl.org/Triticum_aestivum/Gene/Summary?g=TRIAE_CS42_4BS_TGACv1_328451_AA1087970","TRIAE_CS42_4BS_TGACv1_328451_AA1087970")</f>
        <v>TRIAE_CS42_4BS_TGACv1_328451_AA1087970</v>
      </c>
      <c r="F219" s="9" t="str">
        <f>HYPERLINK("http://mar2016-plants.ensembl.org/Triticum_aestivum/Gene/Summary?db=core;g=Traes_4BS_2B95BC31D","Traes_4BS_2B95BC31D")</f>
        <v>Traes_4BS_2B95BC31D</v>
      </c>
      <c r="H219" s="8" t="str">
        <f>HYPERLINK("http://plants.ensembl.org/Brachypodium_distachyon/Gene/Summary?g=Bradi1g14170","Bradi1g14170")</f>
        <v>Bradi1g14170</v>
      </c>
      <c r="I219" s="8" t="str">
        <f>HYPERLINK("http://plants.ensembl.org/Arabidopsis_thaliana/Gene/Summary?g=AT5G44300","AT5G44300")</f>
        <v>AT5G44300</v>
      </c>
      <c r="J219" s="9" t="str">
        <f>HYPERLINK("http://plants.ensembl.org/Oryza_sativa/Gene/Summary?db=otherfeatures;g=LOC_Os11g44810","LOC_Os11g44810")</f>
        <v>LOC_Os11g44810</v>
      </c>
      <c r="L219" s="6"/>
      <c r="M219" s="1" t="s">
        <v>973</v>
      </c>
      <c r="N219" s="1" t="s">
        <v>973</v>
      </c>
      <c r="O219" s="1" t="s">
        <v>973</v>
      </c>
      <c r="P219" s="1">
        <v>1</v>
      </c>
      <c r="Q219" s="1" t="s">
        <v>973</v>
      </c>
      <c r="R219" s="1" t="s">
        <v>973</v>
      </c>
      <c r="S219" s="1"/>
      <c r="T219" s="6"/>
      <c r="U219" s="11">
        <v>10.999912998920937</v>
      </c>
      <c r="V219" s="11">
        <v>11.503462368901129</v>
      </c>
      <c r="W219" s="11">
        <v>10.129334798462683</v>
      </c>
      <c r="X219" s="11">
        <v>10.519205247204166</v>
      </c>
      <c r="Y219" s="11">
        <v>10.851878810474403</v>
      </c>
      <c r="Z219" s="11">
        <v>10.574767428619083</v>
      </c>
      <c r="AA219" s="11">
        <v>11.096993785115849</v>
      </c>
      <c r="AB219" s="11">
        <v>10.112221196299789</v>
      </c>
      <c r="AC219" s="11">
        <v>11.158215891063726</v>
      </c>
      <c r="AD219" s="11">
        <v>11.590515427965144</v>
      </c>
      <c r="AE219" s="11">
        <v>9.5994836261479364</v>
      </c>
      <c r="AF219" s="11">
        <v>9.3031789671119576</v>
      </c>
      <c r="AG219" s="11">
        <v>10.331935850926737</v>
      </c>
      <c r="AH219" s="11">
        <v>9.4760995966910428</v>
      </c>
      <c r="AI219" s="11">
        <v>9.7024561739314716</v>
      </c>
      <c r="AJ219" s="11">
        <v>9.2791682260420831</v>
      </c>
      <c r="AK219" s="6"/>
      <c r="AL219" t="s">
        <v>1077</v>
      </c>
      <c r="AM219">
        <v>0</v>
      </c>
      <c r="AN219" s="6"/>
      <c r="AO219" s="20">
        <v>-0.1552</v>
      </c>
      <c r="AP219" s="20">
        <v>-8.8200000000000001E-2</v>
      </c>
      <c r="AQ219" s="20">
        <v>0.52590000000000003</v>
      </c>
      <c r="AR219" s="20">
        <v>1.2053</v>
      </c>
      <c r="AS219" s="20">
        <v>0.51580000000000004</v>
      </c>
      <c r="AT219" s="20">
        <v>1.0908</v>
      </c>
      <c r="AU219" s="20">
        <v>1.3832</v>
      </c>
      <c r="AV219" s="20">
        <v>0.82679999999999998</v>
      </c>
      <c r="AW219" s="6"/>
      <c r="AX219" s="18">
        <v>0.71079999999999999</v>
      </c>
      <c r="AY219" s="18">
        <v>0.83360000000000001</v>
      </c>
      <c r="AZ219" s="18">
        <v>0.20910000000000001</v>
      </c>
      <c r="BA219" s="18">
        <v>4.0179999999999999E-3</v>
      </c>
      <c r="BB219" s="18">
        <v>0.21729999999999999</v>
      </c>
      <c r="BC219" s="18">
        <v>9.1940000000000008E-3</v>
      </c>
      <c r="BD219" s="18">
        <v>9.4479999999999998E-4</v>
      </c>
      <c r="BE219" s="18">
        <v>4.8480000000000002E-2</v>
      </c>
      <c r="BF219" s="13"/>
      <c r="BG219" t="s">
        <v>1333</v>
      </c>
      <c r="BH219" t="s">
        <v>1155</v>
      </c>
      <c r="BI219" t="s">
        <v>1356</v>
      </c>
      <c r="BJ219" t="s">
        <v>1114</v>
      </c>
      <c r="BK219" t="s">
        <v>1115</v>
      </c>
      <c r="BL219" t="s">
        <v>1116</v>
      </c>
      <c r="BM219" t="s">
        <v>1117</v>
      </c>
      <c r="BN219" s="13"/>
      <c r="BO219" t="s">
        <v>973</v>
      </c>
      <c r="BP219" t="s">
        <v>973</v>
      </c>
      <c r="BQ219" t="s">
        <v>973</v>
      </c>
      <c r="BR219" t="s">
        <v>973</v>
      </c>
    </row>
    <row r="220" spans="1:70" x14ac:dyDescent="0.25">
      <c r="A220" t="s">
        <v>571</v>
      </c>
      <c r="B220" t="s">
        <v>497</v>
      </c>
      <c r="C220" t="s">
        <v>498</v>
      </c>
      <c r="D220" s="6"/>
      <c r="E220" s="9" t="str">
        <f>HYPERLINK("http://plants.ensembl.org/Triticum_aestivum/Gene/Summary?g=TRIAE_CS42_4DS_TGACv1_361072_AA1160380","TRIAE_CS42_4DS_TGACv1_361072_AA1160380")</f>
        <v>TRIAE_CS42_4DS_TGACv1_361072_AA1160380</v>
      </c>
      <c r="F220" s="9" t="str">
        <f>HYPERLINK("http://mar2016-plants.ensembl.org/Triticum_aestivum/Gene/Summary?db=core;g=Traes_4DS_DBB636978","Traes_4DS_DBB636978")</f>
        <v>Traes_4DS_DBB636978</v>
      </c>
      <c r="H220" s="8" t="str">
        <f>HYPERLINK("http://plants.ensembl.org/Brachypodium_distachyon/Gene/Summary?g=Bradi1g14170","Bradi1g14170")</f>
        <v>Bradi1g14170</v>
      </c>
      <c r="I220" s="8" t="str">
        <f>HYPERLINK("http://plants.ensembl.org/Arabidopsis_thaliana/Gene/Summary?g=AT5G44300","AT5G44300")</f>
        <v>AT5G44300</v>
      </c>
      <c r="J220" s="9" t="str">
        <f>HYPERLINK("http://plants.ensembl.org/Oryza_sativa/Gene/Summary?db=otherfeatures;g=LOC_Os11g44810","LOC_Os11g44810")</f>
        <v>LOC_Os11g44810</v>
      </c>
      <c r="L220" s="6"/>
      <c r="M220" s="1" t="s">
        <v>973</v>
      </c>
      <c r="N220" s="1" t="s">
        <v>973</v>
      </c>
      <c r="O220" s="1" t="s">
        <v>973</v>
      </c>
      <c r="P220" s="1">
        <v>1</v>
      </c>
      <c r="Q220" s="1" t="s">
        <v>973</v>
      </c>
      <c r="R220" s="1" t="s">
        <v>973</v>
      </c>
      <c r="S220" s="1"/>
      <c r="T220" s="6"/>
      <c r="U220" s="11">
        <v>10.871864229842739</v>
      </c>
      <c r="V220" s="11">
        <v>11.165813332148772</v>
      </c>
      <c r="W220" s="11">
        <v>9.7638016651184305</v>
      </c>
      <c r="X220" s="11">
        <v>10.408916642908759</v>
      </c>
      <c r="Y220" s="11">
        <v>10.396572280934921</v>
      </c>
      <c r="Z220" s="11">
        <v>10.221450256097677</v>
      </c>
      <c r="AA220" s="11">
        <v>10.663997783468213</v>
      </c>
      <c r="AB220" s="11">
        <v>9.7570596491104702</v>
      </c>
      <c r="AC220" s="11">
        <v>10.66528365111637</v>
      </c>
      <c r="AD220" s="11">
        <v>10.915788896418121</v>
      </c>
      <c r="AE220" s="11">
        <v>9.1865960481181013</v>
      </c>
      <c r="AF220" s="11">
        <v>8.8799656713664188</v>
      </c>
      <c r="AG220" s="11">
        <v>9.8537880348909272</v>
      </c>
      <c r="AH220" s="11">
        <v>9.0732651408388083</v>
      </c>
      <c r="AI220" s="11">
        <v>9.2339102634706265</v>
      </c>
      <c r="AJ220" s="11">
        <v>8.7078419054495591</v>
      </c>
      <c r="AK220" s="6"/>
      <c r="AL220" t="s">
        <v>1077</v>
      </c>
      <c r="AM220">
        <v>0</v>
      </c>
      <c r="AN220" s="6"/>
      <c r="AO220" s="20">
        <v>0.2079</v>
      </c>
      <c r="AP220" s="20">
        <v>0.24759999999999999</v>
      </c>
      <c r="AQ220" s="20">
        <v>0.57369999999999999</v>
      </c>
      <c r="AR220" s="20">
        <v>1.5175000000000001</v>
      </c>
      <c r="AS220" s="20">
        <v>0.53939999999999999</v>
      </c>
      <c r="AT220" s="20">
        <v>1.1415</v>
      </c>
      <c r="AU220" s="20">
        <v>1.4204000000000001</v>
      </c>
      <c r="AV220" s="20">
        <v>1.0430999999999999</v>
      </c>
      <c r="AW220" s="6"/>
      <c r="AX220" s="18">
        <v>0.59550000000000003</v>
      </c>
      <c r="AY220" s="18">
        <v>0.52910000000000001</v>
      </c>
      <c r="AZ220" s="18">
        <v>0.14319999999999999</v>
      </c>
      <c r="BA220" s="18">
        <v>1.089E-4</v>
      </c>
      <c r="BB220" s="18">
        <v>0.16769999999999999</v>
      </c>
      <c r="BC220" s="18">
        <v>3.5850000000000001E-3</v>
      </c>
      <c r="BD220" s="18">
        <v>2.8439999999999997E-4</v>
      </c>
      <c r="BE220" s="18">
        <v>7.8639999999999995E-3</v>
      </c>
      <c r="BF220" s="13"/>
      <c r="BG220" t="s">
        <v>1405</v>
      </c>
      <c r="BH220" t="s">
        <v>1386</v>
      </c>
      <c r="BI220" t="s">
        <v>1356</v>
      </c>
      <c r="BJ220" t="s">
        <v>1114</v>
      </c>
      <c r="BK220" t="s">
        <v>1115</v>
      </c>
      <c r="BL220" t="s">
        <v>1116</v>
      </c>
      <c r="BM220" t="s">
        <v>1117</v>
      </c>
      <c r="BN220" s="13"/>
      <c r="BO220" t="s">
        <v>973</v>
      </c>
      <c r="BP220" t="s">
        <v>973</v>
      </c>
      <c r="BQ220" t="s">
        <v>973</v>
      </c>
      <c r="BR220" t="s">
        <v>973</v>
      </c>
    </row>
    <row r="221" spans="1:70" x14ac:dyDescent="0.25">
      <c r="A221" t="s">
        <v>687</v>
      </c>
      <c r="B221" t="s">
        <v>206</v>
      </c>
      <c r="C221" t="s">
        <v>15</v>
      </c>
      <c r="D221" s="6"/>
      <c r="E221" s="9" t="str">
        <f>HYPERLINK("http://plants.ensembl.org/Triticum_aestivum/Gene/Summary?g=TRIAE_CS42_5BL_TGACv1_404700_AA1308770","TRIAE_CS42_5BL_TGACv1_404700_AA1308770")</f>
        <v>TRIAE_CS42_5BL_TGACv1_404700_AA1308770</v>
      </c>
      <c r="F221" s="9" t="str">
        <f>HYPERLINK("http://mar2016-plants.ensembl.org/Triticum_aestivum/Gene/Summary?db=core;g=Traes_5BL_9F4C228C1","Traes_5BL_9F4C228C1")</f>
        <v>Traes_5BL_9F4C228C1</v>
      </c>
      <c r="G221" t="s">
        <v>1015</v>
      </c>
      <c r="H221" s="8" t="str">
        <f>HYPERLINK("http://plants.ensembl.org/Brachypodium_distachyon/Gene/Summary?g=Bradi4g31030","Bradi4g31030")</f>
        <v>Bradi4g31030</v>
      </c>
      <c r="I221" s="8" t="str">
        <f>HYPERLINK("http://plants.ensembl.org/Arabidopsis_thaliana/Gene/Summary?g=AT5G20910","AT5G20910")</f>
        <v>AT5G20910</v>
      </c>
      <c r="J221" s="9" t="str">
        <f>HYPERLINK("http://plants.ensembl.org/Oryza_sativa/Gene/Summary?db=otherfeatures;g=LOC_Os09g26400","LOC_Os09g26400")</f>
        <v>LOC_Os09g26400</v>
      </c>
      <c r="K221" s="9" t="str">
        <f>HYPERLINK("http://plants.ensembl.org/Zea_mays/Gene/Summary?db=otherfeatures;g=GRMZM2G140160","GRMZM2G140160")</f>
        <v>GRMZM2G140160</v>
      </c>
      <c r="L221" s="6"/>
      <c r="M221" t="s">
        <v>973</v>
      </c>
      <c r="N221" t="s">
        <v>973</v>
      </c>
      <c r="O221" t="s">
        <v>973</v>
      </c>
      <c r="P221" t="s">
        <v>973</v>
      </c>
      <c r="S221">
        <v>1</v>
      </c>
      <c r="T221" s="6"/>
      <c r="U221" s="11">
        <v>9.3725917998350106</v>
      </c>
      <c r="V221" s="11">
        <v>10.241284109184328</v>
      </c>
      <c r="W221" s="11">
        <v>8.2683634311278738</v>
      </c>
      <c r="X221" s="11">
        <v>9.1377885166718666</v>
      </c>
      <c r="Y221" s="11">
        <v>8.199944337545908</v>
      </c>
      <c r="Z221" s="11">
        <v>8.588952192297203</v>
      </c>
      <c r="AA221" s="11">
        <v>7.7576991291535435</v>
      </c>
      <c r="AB221" s="11">
        <v>8.8917000751030457</v>
      </c>
      <c r="AC221" s="11">
        <v>7.5328883545712921</v>
      </c>
      <c r="AD221" s="11">
        <v>7.5703956320235664</v>
      </c>
      <c r="AE221" s="11">
        <v>7.5412724391447918</v>
      </c>
      <c r="AF221" s="11">
        <v>7.6562959028644908</v>
      </c>
      <c r="AG221" s="11">
        <v>7.3496666333030172</v>
      </c>
      <c r="AH221" s="11">
        <v>7.5007356731142503</v>
      </c>
      <c r="AI221" s="11">
        <v>7.8410585689195296</v>
      </c>
      <c r="AJ221" s="11">
        <v>7.8181652321585009</v>
      </c>
      <c r="AK221" s="6"/>
      <c r="AL221" t="s">
        <v>1077</v>
      </c>
      <c r="AM221">
        <v>0</v>
      </c>
      <c r="AN221" s="6"/>
      <c r="AO221" s="20">
        <v>1.8620000000000001</v>
      </c>
      <c r="AP221" s="20">
        <v>2.7290999999999999</v>
      </c>
      <c r="AQ221" s="20">
        <v>0.72899999999999998</v>
      </c>
      <c r="AR221" s="20">
        <v>1.4907999999999999</v>
      </c>
      <c r="AS221" s="20">
        <v>0.85119999999999996</v>
      </c>
      <c r="AT221" s="20">
        <v>1.0885</v>
      </c>
      <c r="AU221" s="20">
        <v>-8.9499999999999996E-2</v>
      </c>
      <c r="AV221" s="20">
        <v>1.0751999999999999</v>
      </c>
      <c r="AW221" s="6"/>
      <c r="AX221" s="18">
        <v>1.565E-24</v>
      </c>
      <c r="AY221" s="18">
        <v>1.808E-44</v>
      </c>
      <c r="AZ221" s="18">
        <v>4.5710000000000001E-5</v>
      </c>
      <c r="BA221" s="18">
        <v>4.2539999999999997E-17</v>
      </c>
      <c r="BB221" s="18">
        <v>1.787E-6</v>
      </c>
      <c r="BC221" s="18">
        <v>1.293E-9</v>
      </c>
      <c r="BD221" s="18">
        <v>0.61509999999999998</v>
      </c>
      <c r="BE221" s="18">
        <v>1.053E-9</v>
      </c>
      <c r="BF221" s="13"/>
      <c r="BG221" t="s">
        <v>1258</v>
      </c>
      <c r="BH221" t="s">
        <v>1132</v>
      </c>
      <c r="BI221" t="s">
        <v>1113</v>
      </c>
      <c r="BJ221" t="s">
        <v>1133</v>
      </c>
      <c r="BK221" t="s">
        <v>1115</v>
      </c>
      <c r="BL221" t="s">
        <v>1116</v>
      </c>
      <c r="BM221" t="s">
        <v>1117</v>
      </c>
      <c r="BN221" s="13"/>
      <c r="BO221" t="s">
        <v>973</v>
      </c>
      <c r="BP221" t="s">
        <v>973</v>
      </c>
      <c r="BQ221" t="s">
        <v>973</v>
      </c>
      <c r="BR221" t="s">
        <v>973</v>
      </c>
    </row>
    <row r="222" spans="1:70" x14ac:dyDescent="0.25">
      <c r="A222" t="s">
        <v>861</v>
      </c>
      <c r="B222" t="s">
        <v>862</v>
      </c>
      <c r="C222" t="s">
        <v>353</v>
      </c>
      <c r="D222" s="6"/>
      <c r="E222" s="9" t="str">
        <f>HYPERLINK("http://plants.ensembl.org/Triticum_aestivum/Gene/Summary?g=TRIAE_CS42_7AL_TGACv1_558528_AA1794090","TRIAE_CS42_7AL_TGACv1_558528_AA1794090")</f>
        <v>TRIAE_CS42_7AL_TGACv1_558528_AA1794090</v>
      </c>
      <c r="F222" s="9" t="str">
        <f>HYPERLINK("http://mar2016-plants.ensembl.org/Triticum_aestivum/Gene/Summary?db=core;g=Traes_7AL_AF1AA9D9E","Traes_7AL_AF1AA9D9E")</f>
        <v>Traes_7AL_AF1AA9D9E</v>
      </c>
      <c r="G222" t="s">
        <v>1036</v>
      </c>
      <c r="H222" s="8" t="str">
        <f>HYPERLINK("http://plants.ensembl.org/Brachypodium_distachyon/Gene/Summary?g=Bradi3g14420","Bradi3g14420")</f>
        <v>Bradi3g14420</v>
      </c>
      <c r="I222" s="8" t="str">
        <f>HYPERLINK("http://plants.ensembl.org/Arabidopsis_thaliana/Gene/Summary?g=AT1G79380","AT1G79380")</f>
        <v>AT1G79380</v>
      </c>
      <c r="J222" s="9" t="str">
        <f>HYPERLINK("http://plants.ensembl.org/Oryza_sativa/Gene/Summary?db=otherfeatures;g=LOC_Os08g04130","LOC_Os08g04130")</f>
        <v>LOC_Os08g04130</v>
      </c>
      <c r="K222" s="9" t="str">
        <f>HYPERLINK("http://plants.ensembl.org/Zea_mays/Gene/Summary?db=otherfeatures;g=GRMZM2G165638","GRMZM2G165638")</f>
        <v>GRMZM2G165638</v>
      </c>
      <c r="L222" s="6"/>
      <c r="M222" t="s">
        <v>973</v>
      </c>
      <c r="N222">
        <v>1</v>
      </c>
      <c r="O222" t="s">
        <v>973</v>
      </c>
      <c r="P222" t="s">
        <v>973</v>
      </c>
      <c r="S222" t="s">
        <v>973</v>
      </c>
      <c r="T222" s="6"/>
      <c r="U222" s="11">
        <v>5.8855247444396994</v>
      </c>
      <c r="V222" s="11">
        <v>7.1607672781689802</v>
      </c>
      <c r="W222" s="11">
        <v>5.2487599866712635</v>
      </c>
      <c r="X222" s="11">
        <v>5.3706420767040672</v>
      </c>
      <c r="Y222" s="11">
        <v>6.0593163367856793</v>
      </c>
      <c r="Z222" s="11">
        <v>5.8563508240355757</v>
      </c>
      <c r="AA222" s="11">
        <v>5.3065563297468996</v>
      </c>
      <c r="AB222" s="11">
        <v>5.3333032655680679</v>
      </c>
      <c r="AC222" s="11">
        <v>3.258297805078576</v>
      </c>
      <c r="AD222" s="11">
        <v>4.205348197088445</v>
      </c>
      <c r="AE222" s="11">
        <v>3.6069238357357656</v>
      </c>
      <c r="AF222" s="11">
        <v>3.714736408453835</v>
      </c>
      <c r="AG222" s="11">
        <v>3.5307824227661406</v>
      </c>
      <c r="AH222" s="11">
        <v>3.7115536411304486</v>
      </c>
      <c r="AI222" s="11">
        <v>3.5525369244574998</v>
      </c>
      <c r="AJ222" s="11">
        <v>3.6882922778330078</v>
      </c>
      <c r="AK222" s="6"/>
      <c r="AL222" t="s">
        <v>1077</v>
      </c>
      <c r="AM222">
        <v>1379</v>
      </c>
      <c r="AN222" s="6"/>
      <c r="AO222" s="20">
        <v>2.9051</v>
      </c>
      <c r="AP222" s="20">
        <v>3.2404999999999999</v>
      </c>
      <c r="AQ222" s="20">
        <v>1.6939</v>
      </c>
      <c r="AR222" s="20">
        <v>1.6786000000000001</v>
      </c>
      <c r="AS222" s="20">
        <v>2.5548000000000002</v>
      </c>
      <c r="AT222" s="20">
        <v>2.2042999999999999</v>
      </c>
      <c r="AU222" s="20">
        <v>1.8190999999999999</v>
      </c>
      <c r="AV222" s="20">
        <v>1.7101999999999999</v>
      </c>
      <c r="AW222" s="6"/>
      <c r="AX222" s="18">
        <v>1.2420000000000001E-9</v>
      </c>
      <c r="AY222" s="18">
        <v>1.5519999999999998E-11</v>
      </c>
      <c r="AZ222" s="18">
        <v>1.087E-4</v>
      </c>
      <c r="BA222" s="18">
        <v>1.237E-4</v>
      </c>
      <c r="BB222" s="18">
        <v>7.9479999999999999E-10</v>
      </c>
      <c r="BC222" s="18">
        <v>4.045E-7</v>
      </c>
      <c r="BD222" s="18">
        <v>2.9709999999999998E-5</v>
      </c>
      <c r="BE222" s="18">
        <v>8.8079999999999997E-5</v>
      </c>
      <c r="BF222" s="13"/>
      <c r="BG222" t="s">
        <v>1125</v>
      </c>
      <c r="BH222" t="s">
        <v>1126</v>
      </c>
      <c r="BI222" t="s">
        <v>1113</v>
      </c>
      <c r="BJ222" t="s">
        <v>1127</v>
      </c>
      <c r="BK222" t="s">
        <v>1115</v>
      </c>
      <c r="BL222" t="s">
        <v>1116</v>
      </c>
      <c r="BM222" t="s">
        <v>1117</v>
      </c>
      <c r="BN222" s="13"/>
      <c r="BO222" t="s">
        <v>973</v>
      </c>
      <c r="BP222">
        <v>1</v>
      </c>
      <c r="BQ222" t="s">
        <v>973</v>
      </c>
      <c r="BR222" t="s">
        <v>973</v>
      </c>
    </row>
    <row r="223" spans="1:70" x14ac:dyDescent="0.25">
      <c r="A223" t="s">
        <v>626</v>
      </c>
      <c r="B223" t="s">
        <v>627</v>
      </c>
      <c r="C223" t="s">
        <v>628</v>
      </c>
      <c r="D223" s="6"/>
      <c r="E223" s="9" t="str">
        <f>HYPERLINK("http://plants.ensembl.org/Triticum_aestivum/Gene/Summary?g=TRIAE_CS42_5AL_TGACv1_374418_AA1199770","TRIAE_CS42_5AL_TGACv1_374418_AA1199770")</f>
        <v>TRIAE_CS42_5AL_TGACv1_374418_AA1199770</v>
      </c>
      <c r="F223" s="9" t="str">
        <f>HYPERLINK("http://mar2016-plants.ensembl.org/Triticum_aestivum/Gene/Summary?db=core;g=Traes_5AL_7F6C23B45","Traes_5AL_7F6C23B45")</f>
        <v>Traes_5AL_7F6C23B45</v>
      </c>
      <c r="H223" s="8" t="str">
        <f>HYPERLINK("http://plants.ensembl.org/Brachypodium_distachyon/Gene/Summary?g=Bradi4g31290","Bradi4g31290")</f>
        <v>Bradi4g31290</v>
      </c>
      <c r="I223" s="1" t="s">
        <v>1051</v>
      </c>
      <c r="J223" s="9" t="str">
        <f>HYPERLINK("http://plants.ensembl.org/Oryza_sativa/Gene/Summary?db=otherfeatures;g=LOC_Os09g26840","LOC_Os09g26840")</f>
        <v>LOC_Os09g26840</v>
      </c>
      <c r="L223" s="6"/>
      <c r="M223" s="1" t="s">
        <v>973</v>
      </c>
      <c r="N223" s="1" t="s">
        <v>973</v>
      </c>
      <c r="O223" s="1" t="s">
        <v>973</v>
      </c>
      <c r="P223" s="1">
        <v>1</v>
      </c>
      <c r="Q223" s="1" t="s">
        <v>973</v>
      </c>
      <c r="R223" s="1" t="s">
        <v>973</v>
      </c>
      <c r="S223" s="1"/>
      <c r="T223" s="6"/>
      <c r="U223" s="11">
        <v>6.9593292901279211</v>
      </c>
      <c r="V223" s="11">
        <v>4.6773560155308376</v>
      </c>
      <c r="W223" s="11">
        <v>5.822372403586149</v>
      </c>
      <c r="X223" s="11">
        <v>5.8318198294320798</v>
      </c>
      <c r="Y223" s="11">
        <v>6.2241644306115038</v>
      </c>
      <c r="Z223" s="11">
        <v>5.5237323512778298</v>
      </c>
      <c r="AA223" s="11">
        <v>6.7673643586586838</v>
      </c>
      <c r="AB223" s="11">
        <v>7.0891707870091727</v>
      </c>
      <c r="AC223" s="11">
        <v>8.6339093411221022</v>
      </c>
      <c r="AD223" s="11">
        <v>8.2847252572906775</v>
      </c>
      <c r="AE223" s="11">
        <v>6.6585904380108563</v>
      </c>
      <c r="AF223" s="11">
        <v>6.4940992794470374</v>
      </c>
      <c r="AG223" s="11">
        <v>7.0005615649332222</v>
      </c>
      <c r="AH223" s="11">
        <v>6.7894297454506871</v>
      </c>
      <c r="AI223" s="11">
        <v>7.8507608837478458</v>
      </c>
      <c r="AJ223" s="11">
        <v>7.7980667203630629</v>
      </c>
      <c r="AK223" s="6"/>
      <c r="AL223" t="s">
        <v>1086</v>
      </c>
      <c r="AM223">
        <v>0</v>
      </c>
      <c r="AN223" s="6"/>
      <c r="AO223" s="20">
        <v>-1.7585</v>
      </c>
      <c r="AP223" s="20">
        <v>-4.3597000000000001</v>
      </c>
      <c r="AQ223" s="20">
        <v>-0.85040000000000004</v>
      </c>
      <c r="AR223" s="20">
        <v>-0.64990000000000003</v>
      </c>
      <c r="AS223" s="20">
        <v>-0.7732</v>
      </c>
      <c r="AT223" s="20">
        <v>-1.284</v>
      </c>
      <c r="AU223" s="20">
        <v>-1.0911999999999999</v>
      </c>
      <c r="AV223" s="20">
        <v>-0.71009999999999995</v>
      </c>
      <c r="AW223" s="6"/>
      <c r="AX223" s="18">
        <v>3.9870000000000003E-15</v>
      </c>
      <c r="AY223" s="18">
        <v>1.7999999999999999E-23</v>
      </c>
      <c r="AZ223" s="18">
        <v>1.6980000000000001E-4</v>
      </c>
      <c r="BA223" s="18">
        <v>5.1070000000000004E-3</v>
      </c>
      <c r="BB223" s="18">
        <v>4.0620000000000001E-4</v>
      </c>
      <c r="BC223" s="18">
        <v>2.96E-8</v>
      </c>
      <c r="BD223" s="18">
        <v>1.378E-7</v>
      </c>
      <c r="BE223" s="18">
        <v>6.8170000000000004E-4</v>
      </c>
      <c r="BF223" s="13"/>
      <c r="BG223" t="s">
        <v>1336</v>
      </c>
      <c r="BH223" t="s">
        <v>1394</v>
      </c>
      <c r="BI223" t="s">
        <v>1343</v>
      </c>
      <c r="BJ223" t="s">
        <v>1148</v>
      </c>
      <c r="BK223" t="s">
        <v>1115</v>
      </c>
      <c r="BL223" t="s">
        <v>1188</v>
      </c>
      <c r="BM223" t="s">
        <v>1375</v>
      </c>
      <c r="BN223" s="13"/>
      <c r="BO223" t="s">
        <v>973</v>
      </c>
      <c r="BP223" t="s">
        <v>973</v>
      </c>
      <c r="BQ223" t="s">
        <v>973</v>
      </c>
      <c r="BR223" t="s">
        <v>973</v>
      </c>
    </row>
    <row r="224" spans="1:70" x14ac:dyDescent="0.25">
      <c r="A224" t="s">
        <v>610</v>
      </c>
      <c r="B224" t="s">
        <v>611</v>
      </c>
      <c r="C224" t="s">
        <v>612</v>
      </c>
      <c r="D224" s="6"/>
      <c r="E224" s="9" t="str">
        <f>HYPERLINK("http://plants.ensembl.org/Triticum_aestivum/Gene/Summary?g=TRIAE_CS42_5AL_TGACv1_374777_AA1208870","TRIAE_CS42_5AL_TGACv1_374777_AA1208870")</f>
        <v>TRIAE_CS42_5AL_TGACv1_374777_AA1208870</v>
      </c>
      <c r="H224" s="8" t="str">
        <f>HYPERLINK("http://plants.ensembl.org/Brachypodium_distachyon/Gene/Summary?g=Bradi4g08380","Bradi4g08380")</f>
        <v>Bradi4g08380</v>
      </c>
      <c r="I224" s="8" t="str">
        <f>HYPERLINK("http://plants.ensembl.org/Arabidopsis_thaliana/Gene/Summary?g=AT5G03280","AT5G03280")</f>
        <v>AT5G03280</v>
      </c>
      <c r="J224" s="9" t="str">
        <f>HYPERLINK("http://plants.ensembl.org/Oryza_sativa/Gene/Summary?db=otherfeatures;g=LOC_Os03g49400","LOC_Os03g49400")</f>
        <v>LOC_Os03g49400</v>
      </c>
      <c r="L224" s="6"/>
      <c r="M224" s="1" t="s">
        <v>973</v>
      </c>
      <c r="N224" s="1" t="s">
        <v>973</v>
      </c>
      <c r="O224" s="1">
        <v>1</v>
      </c>
      <c r="P224" s="1" t="s">
        <v>973</v>
      </c>
      <c r="Q224" s="1" t="s">
        <v>973</v>
      </c>
      <c r="R224" s="1" t="s">
        <v>973</v>
      </c>
      <c r="S224" s="1"/>
      <c r="T224" s="6"/>
      <c r="U224" s="11">
        <v>6.5195078328553109</v>
      </c>
      <c r="V224" s="11">
        <v>6.0451735470036603</v>
      </c>
      <c r="W224" s="11">
        <v>7.1827498929471618</v>
      </c>
      <c r="X224" s="11">
        <v>7.2520481738216898</v>
      </c>
      <c r="Y224" s="11">
        <v>6.4996104668069172</v>
      </c>
      <c r="Z224" s="11">
        <v>6.8210472970853404</v>
      </c>
      <c r="AA224" s="11">
        <v>6.9846501069285898</v>
      </c>
      <c r="AB224" s="11">
        <v>7.7534391823438078</v>
      </c>
      <c r="AC224" s="11">
        <v>7.8600465495170972</v>
      </c>
      <c r="AD224" s="11">
        <v>7.8286977933859108</v>
      </c>
      <c r="AE224" s="11">
        <v>8.1806476602887557</v>
      </c>
      <c r="AF224" s="11">
        <v>8.1712121659778365</v>
      </c>
      <c r="AG224" s="11">
        <v>7.7717865614571222</v>
      </c>
      <c r="AH224" s="11">
        <v>7.9436488620700541</v>
      </c>
      <c r="AI224" s="11">
        <v>8.27887175061006</v>
      </c>
      <c r="AJ224" s="11">
        <v>8.1072334687691843</v>
      </c>
      <c r="AK224" s="6"/>
      <c r="AL224" t="s">
        <v>1088</v>
      </c>
      <c r="AM224">
        <v>0</v>
      </c>
      <c r="AN224" s="6"/>
      <c r="AO224" s="20">
        <v>-1.3323</v>
      </c>
      <c r="AP224" s="20">
        <v>-1.7553000000000001</v>
      </c>
      <c r="AQ224" s="20">
        <v>-0.99960000000000004</v>
      </c>
      <c r="AR224" s="20">
        <v>-0.92069999999999996</v>
      </c>
      <c r="AS224" s="20">
        <v>-1.2766</v>
      </c>
      <c r="AT224" s="20">
        <v>-1.1207</v>
      </c>
      <c r="AU224" s="20">
        <v>-1.2979000000000001</v>
      </c>
      <c r="AV224" s="20">
        <v>-0.35410000000000003</v>
      </c>
      <c r="AW224" s="6"/>
      <c r="AX224" s="18">
        <v>6.5870000000000004E-7</v>
      </c>
      <c r="AY224" s="18">
        <v>2.3730000000000001E-8</v>
      </c>
      <c r="AZ224" s="18">
        <v>3.8569999999999998E-5</v>
      </c>
      <c r="BA224" s="18">
        <v>1.627E-4</v>
      </c>
      <c r="BB224" s="18">
        <v>3.0619999999999998E-7</v>
      </c>
      <c r="BC224" s="18">
        <v>5.4879999999999998E-6</v>
      </c>
      <c r="BD224" s="18">
        <v>8.615E-8</v>
      </c>
      <c r="BE224" s="18">
        <v>0.14319999999999999</v>
      </c>
      <c r="BF224" s="13"/>
      <c r="BG224" t="s">
        <v>1377</v>
      </c>
      <c r="BH224" t="s">
        <v>1289</v>
      </c>
      <c r="BI224" t="s">
        <v>1113</v>
      </c>
      <c r="BJ224" t="s">
        <v>1114</v>
      </c>
      <c r="BK224" t="s">
        <v>1115</v>
      </c>
      <c r="BL224" t="s">
        <v>1116</v>
      </c>
      <c r="BM224" t="s">
        <v>1117</v>
      </c>
      <c r="BN224" s="13"/>
      <c r="BO224" t="s">
        <v>973</v>
      </c>
      <c r="BP224" t="s">
        <v>973</v>
      </c>
      <c r="BQ224" t="s">
        <v>973</v>
      </c>
      <c r="BR224" t="s">
        <v>973</v>
      </c>
    </row>
    <row r="225" spans="1:70" x14ac:dyDescent="0.25">
      <c r="A225" t="s">
        <v>130</v>
      </c>
      <c r="B225" t="s">
        <v>131</v>
      </c>
      <c r="C225" t="s">
        <v>132</v>
      </c>
      <c r="D225" s="6"/>
      <c r="E225" s="9" t="str">
        <f>HYPERLINK("http://plants.ensembl.org/Triticum_aestivum/Gene/Summary?g=TRIAE_CS42_5BS_TGACv1_423203_AA1370500","TRIAE_CS42_5BS_TGACv1_423203_AA1370500")</f>
        <v>TRIAE_CS42_5BS_TGACv1_423203_AA1370500</v>
      </c>
      <c r="F225" s="9" t="str">
        <f>HYPERLINK("http://mar2016-plants.ensembl.org/Triticum_aestivum/Gene/Summary?db=core;g=Traes_2AS_409CAEDB6","Traes_2AS_409CAEDB6")</f>
        <v>Traes_2AS_409CAEDB6</v>
      </c>
      <c r="H225" s="1" t="s">
        <v>1051</v>
      </c>
      <c r="I225" s="1" t="s">
        <v>1051</v>
      </c>
      <c r="J225" s="1" t="s">
        <v>1051</v>
      </c>
      <c r="L225" s="6"/>
      <c r="M225" s="1" t="s">
        <v>973</v>
      </c>
      <c r="N225" s="1" t="s">
        <v>973</v>
      </c>
      <c r="O225" s="1">
        <v>1</v>
      </c>
      <c r="P225" s="1" t="s">
        <v>973</v>
      </c>
      <c r="Q225" s="1" t="s">
        <v>973</v>
      </c>
      <c r="R225" s="1" t="s">
        <v>973</v>
      </c>
      <c r="S225" s="1"/>
      <c r="T225" s="6"/>
      <c r="U225" s="11">
        <v>8.8514722380873767</v>
      </c>
      <c r="V225" s="11">
        <v>9.5728452780924549</v>
      </c>
      <c r="W225" s="11">
        <v>7.6072513949393183</v>
      </c>
      <c r="X225" s="11">
        <v>8.228805706182083</v>
      </c>
      <c r="Y225" s="11">
        <v>8.2150326816516941</v>
      </c>
      <c r="Z225" s="11">
        <v>8.1418123599355852</v>
      </c>
      <c r="AA225" s="11">
        <v>8.4127956361364564</v>
      </c>
      <c r="AB225" s="11">
        <v>7.6495584590297483</v>
      </c>
      <c r="AC225" s="11">
        <v>6.7078744526178768</v>
      </c>
      <c r="AD225" s="11">
        <v>5.8878258009043014</v>
      </c>
      <c r="AE225" s="11">
        <v>6.341998789284597</v>
      </c>
      <c r="AF225" s="11">
        <v>6.5680802546243502</v>
      </c>
      <c r="AG225" s="11">
        <v>6.1482698022559701</v>
      </c>
      <c r="AH225" s="11">
        <v>5.8430693115668157</v>
      </c>
      <c r="AI225" s="11">
        <v>6.9074723652926764</v>
      </c>
      <c r="AJ225" s="11">
        <v>6.2316487248019854</v>
      </c>
      <c r="AK225" s="6"/>
      <c r="AL225" t="s">
        <v>1077</v>
      </c>
      <c r="AM225">
        <v>565</v>
      </c>
      <c r="AN225" s="6"/>
      <c r="AO225" s="20">
        <v>2.1501999999999999</v>
      </c>
      <c r="AP225" s="20">
        <v>3.6751</v>
      </c>
      <c r="AQ225" s="20">
        <v>1.2645</v>
      </c>
      <c r="AR225" s="20">
        <v>1.6447000000000001</v>
      </c>
      <c r="AS225" s="20">
        <v>2.0607000000000002</v>
      </c>
      <c r="AT225" s="20">
        <v>2.2989000000000002</v>
      </c>
      <c r="AU225" s="20">
        <v>1.4992000000000001</v>
      </c>
      <c r="AV225" s="20">
        <v>1.4167000000000001</v>
      </c>
      <c r="AW225" s="6"/>
      <c r="AX225" s="18">
        <v>3.1320000000000003E-7</v>
      </c>
      <c r="AY225" s="18">
        <v>2.065E-16</v>
      </c>
      <c r="AZ225" s="18">
        <v>2.6029999999999998E-3</v>
      </c>
      <c r="BA225" s="18">
        <v>8.6020000000000007E-5</v>
      </c>
      <c r="BB225" s="18">
        <v>8.0090000000000003E-7</v>
      </c>
      <c r="BC225" s="18">
        <v>5.8169999999999997E-8</v>
      </c>
      <c r="BD225" s="18">
        <v>3.0929999999999998E-4</v>
      </c>
      <c r="BE225" s="18">
        <v>7.6360000000000002E-4</v>
      </c>
      <c r="BF225" s="13"/>
      <c r="BG225" t="s">
        <v>1131</v>
      </c>
      <c r="BH225" t="s">
        <v>1211</v>
      </c>
      <c r="BI225" t="s">
        <v>1113</v>
      </c>
      <c r="BJ225" t="s">
        <v>1114</v>
      </c>
      <c r="BK225" t="s">
        <v>1115</v>
      </c>
      <c r="BL225" t="s">
        <v>1116</v>
      </c>
      <c r="BM225" t="s">
        <v>1117</v>
      </c>
      <c r="BN225" s="13"/>
      <c r="BO225" t="s">
        <v>973</v>
      </c>
      <c r="BP225" t="s">
        <v>973</v>
      </c>
      <c r="BQ225" t="s">
        <v>973</v>
      </c>
      <c r="BR225" t="s">
        <v>973</v>
      </c>
    </row>
    <row r="226" spans="1:70" x14ac:dyDescent="0.25">
      <c r="A226" t="s">
        <v>198</v>
      </c>
      <c r="B226" t="s">
        <v>131</v>
      </c>
      <c r="C226" t="s">
        <v>132</v>
      </c>
      <c r="D226" s="6"/>
      <c r="E226" s="9" t="str">
        <f>HYPERLINK("http://plants.ensembl.org/Triticum_aestivum/Gene/Summary?g=TRIAE_CS42_2BS_TGACv1_149664_AA0497460","TRIAE_CS42_2BS_TGACv1_149664_AA0497460")</f>
        <v>TRIAE_CS42_2BS_TGACv1_149664_AA0497460</v>
      </c>
      <c r="F226" s="9" t="str">
        <f>HYPERLINK("http://mar2016-plants.ensembl.org/Triticum_aestivum/Gene/Summary?db=core;g=Traes_2BS_647C82888","Traes_2BS_647C82888")</f>
        <v>Traes_2BS_647C82888</v>
      </c>
      <c r="H226" s="1" t="s">
        <v>1051</v>
      </c>
      <c r="I226" s="1" t="s">
        <v>1051</v>
      </c>
      <c r="J226" s="1" t="s">
        <v>1051</v>
      </c>
      <c r="L226" s="6"/>
      <c r="M226" s="1" t="s">
        <v>973</v>
      </c>
      <c r="N226" s="1" t="s">
        <v>973</v>
      </c>
      <c r="O226" s="1">
        <v>1</v>
      </c>
      <c r="P226" s="1" t="s">
        <v>973</v>
      </c>
      <c r="Q226" s="1" t="s">
        <v>973</v>
      </c>
      <c r="R226" s="1" t="s">
        <v>973</v>
      </c>
      <c r="S226" s="1"/>
      <c r="T226" s="6"/>
      <c r="U226" s="11">
        <v>7.9638418795605252</v>
      </c>
      <c r="V226" s="11">
        <v>9.5051082919581571</v>
      </c>
      <c r="W226" s="11">
        <v>6.5585217366521826</v>
      </c>
      <c r="X226" s="11">
        <v>7.4552962561470864</v>
      </c>
      <c r="Y226" s="11">
        <v>7.2566864407071323</v>
      </c>
      <c r="Z226" s="11">
        <v>7.1710853698479111</v>
      </c>
      <c r="AA226" s="11">
        <v>7.5579144693810552</v>
      </c>
      <c r="AB226" s="11">
        <v>6.5837517319600343</v>
      </c>
      <c r="AC226" s="11">
        <v>4.7454309694753043</v>
      </c>
      <c r="AD226" s="11">
        <v>4.804786701318112</v>
      </c>
      <c r="AE226" s="11">
        <v>4.3622407600164346</v>
      </c>
      <c r="AF226" s="11">
        <v>5.0264636863198531</v>
      </c>
      <c r="AG226" s="11">
        <v>4.0657503685550864</v>
      </c>
      <c r="AH226" s="11">
        <v>4.0525839900963403</v>
      </c>
      <c r="AI226" s="11">
        <v>5.2840340927544069</v>
      </c>
      <c r="AJ226" s="11">
        <v>4.6341169378339107</v>
      </c>
      <c r="AK226" s="6"/>
      <c r="AL226" t="s">
        <v>1077</v>
      </c>
      <c r="AM226">
        <v>1127</v>
      </c>
      <c r="AN226" s="6"/>
      <c r="AO226" s="20">
        <v>3.2488000000000001</v>
      </c>
      <c r="AP226" s="20">
        <v>4.8506999999999998</v>
      </c>
      <c r="AQ226" s="20">
        <v>2.2124000000000001</v>
      </c>
      <c r="AR226" s="20">
        <v>2.4089</v>
      </c>
      <c r="AS226" s="20">
        <v>3.1999</v>
      </c>
      <c r="AT226" s="20">
        <v>3.1351</v>
      </c>
      <c r="AU226" s="20">
        <v>2.2658</v>
      </c>
      <c r="AV226" s="20">
        <v>1.9593</v>
      </c>
      <c r="AW226" s="6"/>
      <c r="AX226" s="18">
        <v>1.4149999999999999E-8</v>
      </c>
      <c r="AY226" s="18">
        <v>1.029E-15</v>
      </c>
      <c r="AZ226" s="18">
        <v>1.1629999999999999E-4</v>
      </c>
      <c r="BA226" s="18">
        <v>2.0290000000000001E-5</v>
      </c>
      <c r="BB226" s="18">
        <v>1.8769999999999999E-8</v>
      </c>
      <c r="BC226" s="18">
        <v>6.9909999999999995E-8</v>
      </c>
      <c r="BD226" s="18">
        <v>5.2040000000000003E-5</v>
      </c>
      <c r="BE226" s="18">
        <v>5.9239999999999998E-4</v>
      </c>
      <c r="BF226" s="13"/>
      <c r="BG226" t="s">
        <v>1272</v>
      </c>
      <c r="BH226" t="s">
        <v>1126</v>
      </c>
      <c r="BI226" t="s">
        <v>1113</v>
      </c>
      <c r="BJ226" t="s">
        <v>1127</v>
      </c>
      <c r="BK226" t="s">
        <v>1115</v>
      </c>
      <c r="BL226" t="s">
        <v>1116</v>
      </c>
      <c r="BM226" t="s">
        <v>1117</v>
      </c>
      <c r="BN226" s="13"/>
      <c r="BO226" t="s">
        <v>973</v>
      </c>
      <c r="BP226" t="s">
        <v>973</v>
      </c>
      <c r="BQ226" t="s">
        <v>973</v>
      </c>
      <c r="BR226" t="s">
        <v>973</v>
      </c>
    </row>
    <row r="227" spans="1:70" x14ac:dyDescent="0.25">
      <c r="A227" t="s">
        <v>253</v>
      </c>
      <c r="B227" t="s">
        <v>131</v>
      </c>
      <c r="C227" t="s">
        <v>132</v>
      </c>
      <c r="D227" s="6"/>
      <c r="E227" s="9" t="str">
        <f>HYPERLINK("http://plants.ensembl.org/Triticum_aestivum/Gene/Summary?g=TRIAE_CS42_2DS_TGACv1_180205_AA0610430","TRIAE_CS42_2DS_TGACv1_180205_AA0610430")</f>
        <v>TRIAE_CS42_2DS_TGACv1_180205_AA0610430</v>
      </c>
      <c r="H227" s="1" t="s">
        <v>1051</v>
      </c>
      <c r="I227" s="1" t="s">
        <v>1051</v>
      </c>
      <c r="J227" s="1" t="s">
        <v>1051</v>
      </c>
      <c r="L227" s="6"/>
      <c r="M227" s="1" t="s">
        <v>973</v>
      </c>
      <c r="N227" s="1" t="s">
        <v>973</v>
      </c>
      <c r="O227" s="1">
        <v>1</v>
      </c>
      <c r="P227" s="1" t="s">
        <v>973</v>
      </c>
      <c r="Q227" s="1" t="s">
        <v>973</v>
      </c>
      <c r="R227" s="1" t="s">
        <v>973</v>
      </c>
      <c r="S227" s="1"/>
      <c r="T227" s="6"/>
      <c r="U227" s="11">
        <v>8.2066352476225912</v>
      </c>
      <c r="V227" s="11">
        <v>9.2339949203861149</v>
      </c>
      <c r="W227" s="11">
        <v>6.9338617620081946</v>
      </c>
      <c r="X227" s="11">
        <v>7.8198044088910992</v>
      </c>
      <c r="Y227" s="11">
        <v>7.2052272989944282</v>
      </c>
      <c r="Z227" s="11">
        <v>7.2961487061325707</v>
      </c>
      <c r="AA227" s="11">
        <v>8.2157172581946174</v>
      </c>
      <c r="AB227" s="11">
        <v>7.235182947371289</v>
      </c>
      <c r="AC227" s="11">
        <v>5.8449178775506345</v>
      </c>
      <c r="AD227" s="11">
        <v>6.038786599034303</v>
      </c>
      <c r="AE227" s="11">
        <v>5.7718644554465168</v>
      </c>
      <c r="AF227" s="11">
        <v>5.8174510105873498</v>
      </c>
      <c r="AG227" s="11">
        <v>5.6475697123536692</v>
      </c>
      <c r="AH227" s="11">
        <v>5.296959020723226</v>
      </c>
      <c r="AI227" s="11">
        <v>6.470695745851633</v>
      </c>
      <c r="AJ227" s="11">
        <v>6.0615983694243498</v>
      </c>
      <c r="AK227" s="6"/>
      <c r="AL227" t="s">
        <v>1077</v>
      </c>
      <c r="AM227">
        <v>82</v>
      </c>
      <c r="AN227" s="6"/>
      <c r="AO227" s="20">
        <v>2.3839000000000001</v>
      </c>
      <c r="AP227" s="20">
        <v>3.1877</v>
      </c>
      <c r="AQ227" s="20">
        <v>1.1637</v>
      </c>
      <c r="AR227" s="20">
        <v>1.9776</v>
      </c>
      <c r="AS227" s="20">
        <v>1.5548</v>
      </c>
      <c r="AT227" s="20">
        <v>2.0028000000000001</v>
      </c>
      <c r="AU227" s="20">
        <v>1.7356</v>
      </c>
      <c r="AV227" s="20">
        <v>1.1712</v>
      </c>
      <c r="AW227" s="6"/>
      <c r="AX227" s="18">
        <v>1.1939999999999999E-6</v>
      </c>
      <c r="AY227" s="18">
        <v>3.3549999999999998E-10</v>
      </c>
      <c r="AZ227" s="18">
        <v>1.7160000000000002E-2</v>
      </c>
      <c r="BA227" s="18">
        <v>4.9629999999999997E-5</v>
      </c>
      <c r="BB227" s="18">
        <v>1.3669999999999999E-3</v>
      </c>
      <c r="BC227" s="18">
        <v>4.8770000000000002E-5</v>
      </c>
      <c r="BD227" s="18">
        <v>3.1189999999999999E-4</v>
      </c>
      <c r="BE227" s="18">
        <v>1.6E-2</v>
      </c>
      <c r="BF227" s="13"/>
      <c r="BG227" t="s">
        <v>1272</v>
      </c>
      <c r="BH227" t="s">
        <v>1211</v>
      </c>
      <c r="BI227" t="s">
        <v>1113</v>
      </c>
      <c r="BJ227" t="s">
        <v>1114</v>
      </c>
      <c r="BK227" t="s">
        <v>1115</v>
      </c>
      <c r="BL227" t="s">
        <v>1214</v>
      </c>
      <c r="BM227" t="s">
        <v>1117</v>
      </c>
      <c r="BN227" s="13"/>
      <c r="BO227" t="s">
        <v>973</v>
      </c>
      <c r="BP227" t="s">
        <v>973</v>
      </c>
      <c r="BQ227" t="s">
        <v>973</v>
      </c>
      <c r="BR227" t="s">
        <v>973</v>
      </c>
    </row>
    <row r="228" spans="1:70" x14ac:dyDescent="0.25">
      <c r="A228" t="s">
        <v>637</v>
      </c>
      <c r="B228" t="s">
        <v>638</v>
      </c>
      <c r="C228" t="s">
        <v>639</v>
      </c>
      <c r="D228" s="6"/>
      <c r="E228" s="9" t="str">
        <f>HYPERLINK("http://plants.ensembl.org/Triticum_aestivum/Gene/Summary?g=TRIAE_CS42_5AL_TGACv1_374195_AA1193230","TRIAE_CS42_5AL_TGACv1_374195_AA1193230")</f>
        <v>TRIAE_CS42_5AL_TGACv1_374195_AA1193230</v>
      </c>
      <c r="F228" s="9" t="str">
        <f>HYPERLINK("http://mar2016-plants.ensembl.org/Triticum_aestivum/Gene/Summary?db=core;g=Traes_5AL_B65EF5518","Traes_5AL_B65EF5518")</f>
        <v>Traes_5AL_B65EF5518</v>
      </c>
      <c r="H228" s="8" t="str">
        <f>HYPERLINK("http://plants.ensembl.org/Brachypodium_distachyon/Gene/Summary?g=Bradi4g33750","Bradi4g33750")</f>
        <v>Bradi4g33750</v>
      </c>
      <c r="I228" s="1" t="s">
        <v>1051</v>
      </c>
      <c r="J228" s="9" t="str">
        <f>HYPERLINK("http://plants.ensembl.org/Oryza_sativa/Gene/Summary?db=otherfeatures;g=LOC_Os09g31400","LOC_Os09g31400")</f>
        <v>LOC_Os09g31400</v>
      </c>
      <c r="L228" s="6"/>
      <c r="M228" s="1" t="s">
        <v>973</v>
      </c>
      <c r="N228" s="1" t="s">
        <v>973</v>
      </c>
      <c r="O228" s="1">
        <v>1</v>
      </c>
      <c r="P228" s="1" t="s">
        <v>973</v>
      </c>
      <c r="Q228" s="1" t="s">
        <v>973</v>
      </c>
      <c r="R228" s="1" t="s">
        <v>973</v>
      </c>
      <c r="S228" s="1"/>
      <c r="T228" s="6"/>
      <c r="U228" s="11">
        <v>7.1963054020159811</v>
      </c>
      <c r="V228" s="11">
        <v>7.0102655110259313</v>
      </c>
      <c r="W228" s="11">
        <v>6.3605445436288486</v>
      </c>
      <c r="X228" s="11">
        <v>6.5778608165283377</v>
      </c>
      <c r="Y228" s="11">
        <v>6.8425770497884351</v>
      </c>
      <c r="Z228" s="11">
        <v>6.5701648687500009</v>
      </c>
      <c r="AA228" s="11">
        <v>6.4483404547841907</v>
      </c>
      <c r="AB228" s="11">
        <v>6.7312067793263868</v>
      </c>
      <c r="AC228" s="11">
        <v>6.0575390840098056</v>
      </c>
      <c r="AD228" s="11">
        <v>5.5964621152342868</v>
      </c>
      <c r="AE228" s="11">
        <v>5.7852697969615479</v>
      </c>
      <c r="AF228" s="11">
        <v>6.108235888912243</v>
      </c>
      <c r="AG228" s="11">
        <v>6.0856916241821626</v>
      </c>
      <c r="AH228" s="11">
        <v>6.200367680567525</v>
      </c>
      <c r="AI228" s="11">
        <v>6.1381174948111763</v>
      </c>
      <c r="AJ228" s="11">
        <v>6.2997044032758946</v>
      </c>
      <c r="AK228" s="6"/>
      <c r="AL228" t="s">
        <v>1077</v>
      </c>
      <c r="AM228">
        <v>148</v>
      </c>
      <c r="AN228" s="6"/>
      <c r="AO228" s="20">
        <v>1.1748000000000001</v>
      </c>
      <c r="AP228" s="20">
        <v>1.0625</v>
      </c>
      <c r="AQ228" s="20">
        <v>0.57369999999999999</v>
      </c>
      <c r="AR228" s="20">
        <v>0.4617</v>
      </c>
      <c r="AS228" s="20">
        <v>0.75919999999999999</v>
      </c>
      <c r="AT228" s="20">
        <v>0.35809999999999997</v>
      </c>
      <c r="AU228" s="20">
        <v>0.32379999999999998</v>
      </c>
      <c r="AV228" s="20">
        <v>0.43419999999999997</v>
      </c>
      <c r="AW228" s="6"/>
      <c r="AX228" s="18">
        <v>2.914E-6</v>
      </c>
      <c r="AY228" s="18">
        <v>3.4989999999999999E-4</v>
      </c>
      <c r="AZ228" s="18">
        <v>1.934E-2</v>
      </c>
      <c r="BA228" s="18">
        <v>5.6890000000000003E-2</v>
      </c>
      <c r="BB228" s="18">
        <v>1.176E-3</v>
      </c>
      <c r="BC228" s="18">
        <v>0.13669999999999999</v>
      </c>
      <c r="BD228" s="18">
        <v>0.1731</v>
      </c>
      <c r="BE228" s="18">
        <v>6.8269999999999997E-2</v>
      </c>
      <c r="BF228" s="13"/>
      <c r="BG228" t="s">
        <v>1191</v>
      </c>
      <c r="BH228" t="s">
        <v>1112</v>
      </c>
      <c r="BI228" t="s">
        <v>1113</v>
      </c>
      <c r="BJ228" t="s">
        <v>1114</v>
      </c>
      <c r="BK228" t="s">
        <v>1115</v>
      </c>
      <c r="BL228" t="s">
        <v>1116</v>
      </c>
      <c r="BM228" t="s">
        <v>1117</v>
      </c>
      <c r="BN228" s="13"/>
      <c r="BO228" t="s">
        <v>973</v>
      </c>
      <c r="BP228" t="s">
        <v>973</v>
      </c>
      <c r="BQ228" t="s">
        <v>973</v>
      </c>
      <c r="BR228" t="s">
        <v>973</v>
      </c>
    </row>
    <row r="229" spans="1:70" x14ac:dyDescent="0.25">
      <c r="A229" t="s">
        <v>691</v>
      </c>
      <c r="B229" t="s">
        <v>638</v>
      </c>
      <c r="C229" t="s">
        <v>639</v>
      </c>
      <c r="D229" s="6"/>
      <c r="E229" s="9" t="str">
        <f>HYPERLINK("http://plants.ensembl.org/Triticum_aestivum/Gene/Summary?g=TRIAE_CS42_5BL_TGACv1_404722_AA1309280","TRIAE_CS42_5BL_TGACv1_404722_AA1309280")</f>
        <v>TRIAE_CS42_5BL_TGACv1_404722_AA1309280</v>
      </c>
      <c r="F229" s="9" t="str">
        <f>HYPERLINK("http://mar2016-plants.ensembl.org/Triticum_aestivum/Gene/Summary?db=core;g=Traes_5BL_B6051DD37","Traes_5BL_B6051DD37")</f>
        <v>Traes_5BL_B6051DD37</v>
      </c>
      <c r="H229" s="8" t="str">
        <f>HYPERLINK("http://plants.ensembl.org/Brachypodium_distachyon/Gene/Summary?g=Bradi4g33750","Bradi4g33750")</f>
        <v>Bradi4g33750</v>
      </c>
      <c r="I229" s="1" t="s">
        <v>1051</v>
      </c>
      <c r="J229" s="9" t="str">
        <f>HYPERLINK("http://plants.ensembl.org/Oryza_sativa/Gene/Summary?db=otherfeatures;g=LOC_Os09g31400","LOC_Os09g31400")</f>
        <v>LOC_Os09g31400</v>
      </c>
      <c r="L229" s="6"/>
      <c r="M229" s="1" t="s">
        <v>973</v>
      </c>
      <c r="N229" s="1" t="s">
        <v>973</v>
      </c>
      <c r="O229" s="1">
        <v>1</v>
      </c>
      <c r="P229" s="1" t="s">
        <v>973</v>
      </c>
      <c r="Q229" s="1" t="s">
        <v>973</v>
      </c>
      <c r="R229" s="1" t="s">
        <v>973</v>
      </c>
      <c r="S229" s="1"/>
      <c r="T229" s="6"/>
      <c r="U229" s="11">
        <v>7.7860018682300431</v>
      </c>
      <c r="V229" s="11">
        <v>7.6884685330413891</v>
      </c>
      <c r="W229" s="11">
        <v>6.6014102862307817</v>
      </c>
      <c r="X229" s="11">
        <v>6.917434938036144</v>
      </c>
      <c r="Y229" s="11">
        <v>6.9903694974449868</v>
      </c>
      <c r="Z229" s="11">
        <v>6.8788050258682247</v>
      </c>
      <c r="AA229" s="11">
        <v>6.5656022528970972</v>
      </c>
      <c r="AB229" s="11">
        <v>6.8970980048569288</v>
      </c>
      <c r="AC229" s="11">
        <v>6.5379508887544056</v>
      </c>
      <c r="AD229" s="11">
        <v>5.8210332615333122</v>
      </c>
      <c r="AE229" s="11">
        <v>5.8600043235088126</v>
      </c>
      <c r="AF229" s="11">
        <v>6.1001142385350944</v>
      </c>
      <c r="AG229" s="11">
        <v>6.2221238231951537</v>
      </c>
      <c r="AH229" s="11">
        <v>6.520240459593901</v>
      </c>
      <c r="AI229" s="11">
        <v>6.4424807642729656</v>
      </c>
      <c r="AJ229" s="11">
        <v>6.5878085134715079</v>
      </c>
      <c r="AK229" s="6"/>
      <c r="AL229" t="s">
        <v>1077</v>
      </c>
      <c r="AM229">
        <v>0</v>
      </c>
      <c r="AN229" s="6"/>
      <c r="AO229" s="20">
        <v>1.2796000000000001</v>
      </c>
      <c r="AP229" s="20">
        <v>1.6968000000000001</v>
      </c>
      <c r="AQ229" s="20">
        <v>0.74339999999999995</v>
      </c>
      <c r="AR229" s="20">
        <v>0.83150000000000002</v>
      </c>
      <c r="AS229" s="20">
        <v>0.77170000000000005</v>
      </c>
      <c r="AT229" s="20">
        <v>0.35420000000000001</v>
      </c>
      <c r="AU229" s="20">
        <v>0.1263</v>
      </c>
      <c r="AV229" s="20">
        <v>0.31090000000000001</v>
      </c>
      <c r="AW229" s="6"/>
      <c r="AX229" s="18">
        <v>2.139E-7</v>
      </c>
      <c r="AY229" s="18">
        <v>2.086E-9</v>
      </c>
      <c r="AZ229" s="18">
        <v>2.8530000000000001E-3</v>
      </c>
      <c r="BA229" s="18">
        <v>7.6809999999999997E-4</v>
      </c>
      <c r="BB229" s="18">
        <v>1.2459999999999999E-3</v>
      </c>
      <c r="BC229" s="18">
        <v>0.14330000000000001</v>
      </c>
      <c r="BD229" s="18">
        <v>0.60009999999999997</v>
      </c>
      <c r="BE229" s="18">
        <v>0.19750000000000001</v>
      </c>
      <c r="BF229" s="13"/>
      <c r="BG229" t="s">
        <v>1191</v>
      </c>
      <c r="BH229" t="s">
        <v>1307</v>
      </c>
      <c r="BI229" t="s">
        <v>1113</v>
      </c>
      <c r="BJ229" t="s">
        <v>1114</v>
      </c>
      <c r="BK229" t="s">
        <v>1115</v>
      </c>
      <c r="BL229" t="s">
        <v>1116</v>
      </c>
      <c r="BM229" t="s">
        <v>1117</v>
      </c>
      <c r="BN229" s="13"/>
      <c r="BO229" t="s">
        <v>973</v>
      </c>
      <c r="BP229" t="s">
        <v>973</v>
      </c>
      <c r="BQ229" t="s">
        <v>973</v>
      </c>
      <c r="BR229" t="s">
        <v>973</v>
      </c>
    </row>
    <row r="230" spans="1:70" x14ac:dyDescent="0.25">
      <c r="A230" t="s">
        <v>738</v>
      </c>
      <c r="B230" t="s">
        <v>739</v>
      </c>
      <c r="C230" t="s">
        <v>639</v>
      </c>
      <c r="D230" s="6"/>
      <c r="E230" s="9" t="str">
        <f>HYPERLINK("http://plants.ensembl.org/Triticum_aestivum/Gene/Summary?g=TRIAE_CS42_5DL_TGACv1_433740_AA1420970","TRIAE_CS42_5DL_TGACv1_433740_AA1420970")</f>
        <v>TRIAE_CS42_5DL_TGACv1_433740_AA1420970</v>
      </c>
      <c r="F230" s="9" t="str">
        <f>HYPERLINK("http://mar2016-plants.ensembl.org/Triticum_aestivum/Gene/Summary?db=core;g=Traes_5DL_62DEF8361","Traes_5DL_62DEF8361")</f>
        <v>Traes_5DL_62DEF8361</v>
      </c>
      <c r="H230" s="8" t="str">
        <f>HYPERLINK("http://plants.ensembl.org/Brachypodium_distachyon/Gene/Summary?g=Bradi4g33750","Bradi4g33750")</f>
        <v>Bradi4g33750</v>
      </c>
      <c r="I230" s="8" t="str">
        <f>HYPERLINK("http://plants.ensembl.org/Arabidopsis_thaliana/Gene/Summary?g=AT1G73730","AT1G73730")</f>
        <v>AT1G73730</v>
      </c>
      <c r="J230" s="9" t="str">
        <f>HYPERLINK("http://plants.ensembl.org/Oryza_sativa/Gene/Summary?db=otherfeatures;g=LOC_Os09g31400","LOC_Os09g31400")</f>
        <v>LOC_Os09g31400</v>
      </c>
      <c r="L230" s="6"/>
      <c r="M230" s="1" t="s">
        <v>973</v>
      </c>
      <c r="N230" s="1" t="s">
        <v>973</v>
      </c>
      <c r="O230" s="1">
        <v>1</v>
      </c>
      <c r="P230" s="1" t="s">
        <v>973</v>
      </c>
      <c r="Q230" s="1" t="s">
        <v>973</v>
      </c>
      <c r="R230" s="1" t="s">
        <v>973</v>
      </c>
      <c r="S230" s="1"/>
      <c r="T230" s="6"/>
      <c r="U230" s="11">
        <v>7.1718383087076836</v>
      </c>
      <c r="V230" s="11">
        <v>7.9178641330990995</v>
      </c>
      <c r="W230" s="11">
        <v>6.2441227711275582</v>
      </c>
      <c r="X230" s="11">
        <v>6.5545453655334374</v>
      </c>
      <c r="Y230" s="11">
        <v>6.5251261183123184</v>
      </c>
      <c r="Z230" s="11">
        <v>6.3973700199563757</v>
      </c>
      <c r="AA230" s="11">
        <v>6.089488263914868</v>
      </c>
      <c r="AB230" s="11">
        <v>6.5145525842223702</v>
      </c>
      <c r="AC230" s="11">
        <v>5.9026396094552265</v>
      </c>
      <c r="AD230" s="11">
        <v>5.8105176531595539</v>
      </c>
      <c r="AE230" s="11">
        <v>5.2501505873924703</v>
      </c>
      <c r="AF230" s="11">
        <v>6.0421321247689415</v>
      </c>
      <c r="AG230" s="11">
        <v>5.6367425445649024</v>
      </c>
      <c r="AH230" s="11">
        <v>5.7657893171440202</v>
      </c>
      <c r="AI230" s="11">
        <v>5.6868291814314009</v>
      </c>
      <c r="AJ230" s="11">
        <v>5.9453447269452058</v>
      </c>
      <c r="AK230" s="6"/>
      <c r="AL230" t="s">
        <v>1077</v>
      </c>
      <c r="AM230">
        <v>0</v>
      </c>
      <c r="AN230" s="6"/>
      <c r="AO230" s="20">
        <v>1.3199000000000001</v>
      </c>
      <c r="AP230" s="20">
        <v>2.3119999999999998</v>
      </c>
      <c r="AQ230" s="20">
        <v>1.0006999999999999</v>
      </c>
      <c r="AR230" s="20">
        <v>0.5363</v>
      </c>
      <c r="AS230" s="20">
        <v>0.89349999999999996</v>
      </c>
      <c r="AT230" s="20">
        <v>0.64329999999999998</v>
      </c>
      <c r="AU230" s="20">
        <v>0.41920000000000002</v>
      </c>
      <c r="AV230" s="20">
        <v>0.57440000000000002</v>
      </c>
      <c r="AW230" s="6"/>
      <c r="AX230" s="18">
        <v>7.1459999999999999E-6</v>
      </c>
      <c r="AY230" s="18">
        <v>1.422E-12</v>
      </c>
      <c r="AZ230" s="18">
        <v>6.8880000000000005E-4</v>
      </c>
      <c r="BA230" s="18">
        <v>5.9830000000000001E-2</v>
      </c>
      <c r="BB230" s="18">
        <v>1.5610000000000001E-3</v>
      </c>
      <c r="BC230" s="18">
        <v>2.5930000000000002E-2</v>
      </c>
      <c r="BD230" s="18">
        <v>0.14399999999999999</v>
      </c>
      <c r="BE230" s="18">
        <v>4.3889999999999998E-2</v>
      </c>
      <c r="BF230" s="13"/>
      <c r="BG230" t="s">
        <v>1191</v>
      </c>
      <c r="BH230" t="s">
        <v>1186</v>
      </c>
      <c r="BI230" t="s">
        <v>1113</v>
      </c>
      <c r="BJ230" t="s">
        <v>1114</v>
      </c>
      <c r="BK230" t="s">
        <v>1115</v>
      </c>
      <c r="BL230" t="s">
        <v>1116</v>
      </c>
      <c r="BM230" t="s">
        <v>1117</v>
      </c>
      <c r="BN230" s="13"/>
      <c r="BO230" t="s">
        <v>973</v>
      </c>
      <c r="BP230" t="s">
        <v>973</v>
      </c>
      <c r="BQ230" t="s">
        <v>973</v>
      </c>
      <c r="BR230" t="s">
        <v>973</v>
      </c>
    </row>
    <row r="231" spans="1:70" x14ac:dyDescent="0.25">
      <c r="A231" t="s">
        <v>857</v>
      </c>
      <c r="B231" t="s">
        <v>858</v>
      </c>
      <c r="C231" t="s">
        <v>639</v>
      </c>
      <c r="D231" s="6"/>
      <c r="E231" s="9" t="str">
        <f>HYPERLINK("http://plants.ensembl.org/Triticum_aestivum/Gene/Summary?g=TRIAE_CS42_7AS_TGACv1_569832_AA1824950","TRIAE_CS42_7AS_TGACv1_569832_AA1824950")</f>
        <v>TRIAE_CS42_7AS_TGACv1_569832_AA1824950</v>
      </c>
      <c r="F231" s="9" t="str">
        <f>HYPERLINK("http://mar2016-plants.ensembl.org/Triticum_aestivum/Gene/Summary?db=core;g=Traes_7AS_34D476D5D1","Traes_7AS_34D476D5D1")</f>
        <v>Traes_7AS_34D476D5D1</v>
      </c>
      <c r="H231" s="8" t="str">
        <f>HYPERLINK("http://plants.ensembl.org/Brachypodium_distachyon/Gene/Summary?g=Bradi3g39970","Bradi3g39970")</f>
        <v>Bradi3g39970</v>
      </c>
      <c r="I231" s="8" t="str">
        <f>HYPERLINK("http://plants.ensembl.org/Arabidopsis_thaliana/Gene/Summary?g=AT1G73730","AT1G73730")</f>
        <v>AT1G73730</v>
      </c>
      <c r="J231" s="9" t="str">
        <f>HYPERLINK("http://plants.ensembl.org/Oryza_sativa/Gene/Summary?db=otherfeatures;g=LOC_Os08g39830","LOC_Os08g39830")</f>
        <v>LOC_Os08g39830</v>
      </c>
      <c r="L231" s="6"/>
      <c r="M231" s="1" t="s">
        <v>973</v>
      </c>
      <c r="N231" s="1" t="s">
        <v>973</v>
      </c>
      <c r="O231" s="1">
        <v>1</v>
      </c>
      <c r="P231" s="1" t="s">
        <v>973</v>
      </c>
      <c r="Q231" s="1" t="s">
        <v>973</v>
      </c>
      <c r="R231" s="1" t="s">
        <v>973</v>
      </c>
      <c r="S231" s="1"/>
      <c r="T231" s="6"/>
      <c r="U231" s="11">
        <v>7.9214047905504801</v>
      </c>
      <c r="V231" s="11">
        <v>8.2527244004194671</v>
      </c>
      <c r="W231" s="11">
        <v>7.3378445697305192</v>
      </c>
      <c r="X231" s="11">
        <v>7.7237705998537969</v>
      </c>
      <c r="Y231" s="11">
        <v>7.5361689744819547</v>
      </c>
      <c r="Z231" s="11">
        <v>7.6081542642002953</v>
      </c>
      <c r="AA231" s="11">
        <v>7.2625474767111227</v>
      </c>
      <c r="AB231" s="11">
        <v>7.314183818675124</v>
      </c>
      <c r="AC231" s="11">
        <v>7.4486923045639406</v>
      </c>
      <c r="AD231" s="11">
        <v>7.8123957526960979</v>
      </c>
      <c r="AE231" s="11">
        <v>7.1538022966902144</v>
      </c>
      <c r="AF231" s="11">
        <v>7.3515011266362116</v>
      </c>
      <c r="AG231" s="11">
        <v>7.3766773216983408</v>
      </c>
      <c r="AH231" s="11">
        <v>7.6064960222023865</v>
      </c>
      <c r="AI231" s="11">
        <v>7.4332607721576425</v>
      </c>
      <c r="AJ231" s="11">
        <v>7.5807638149163967</v>
      </c>
      <c r="AK231" s="6"/>
      <c r="AL231" t="s">
        <v>1109</v>
      </c>
      <c r="AM231">
        <v>0</v>
      </c>
      <c r="AN231" s="6"/>
      <c r="AO231" s="20">
        <v>0.48580000000000001</v>
      </c>
      <c r="AP231" s="20">
        <v>0.48330000000000001</v>
      </c>
      <c r="AQ231" s="20">
        <v>0.183</v>
      </c>
      <c r="AR231" s="20">
        <v>0.37409999999999999</v>
      </c>
      <c r="AS231" s="20">
        <v>0.16400000000000001</v>
      </c>
      <c r="AT231" s="20">
        <v>-4.1999999999999997E-3</v>
      </c>
      <c r="AU231" s="20">
        <v>-0.1726</v>
      </c>
      <c r="AV231" s="20">
        <v>-0.26700000000000002</v>
      </c>
      <c r="AW231" s="6"/>
      <c r="AX231" s="18">
        <v>2.5659999999999999E-2</v>
      </c>
      <c r="AY231" s="18">
        <v>3.7569999999999999E-2</v>
      </c>
      <c r="AZ231" s="18">
        <v>0.38650000000000001</v>
      </c>
      <c r="BA231" s="18">
        <v>7.5209999999999999E-2</v>
      </c>
      <c r="BB231" s="18">
        <v>0.43009999999999998</v>
      </c>
      <c r="BC231" s="18">
        <v>0.9839</v>
      </c>
      <c r="BD231" s="18">
        <v>0.40839999999999999</v>
      </c>
      <c r="BE231" s="18">
        <v>0.20549999999999999</v>
      </c>
      <c r="BF231" s="13"/>
      <c r="BG231" t="s">
        <v>1111</v>
      </c>
      <c r="BH231" t="s">
        <v>1155</v>
      </c>
      <c r="BI231" t="s">
        <v>1113</v>
      </c>
      <c r="BJ231" t="s">
        <v>1114</v>
      </c>
      <c r="BK231" t="s">
        <v>1115</v>
      </c>
      <c r="BL231" t="s">
        <v>1116</v>
      </c>
      <c r="BM231" t="s">
        <v>1117</v>
      </c>
      <c r="BN231" s="13"/>
      <c r="BO231" t="s">
        <v>973</v>
      </c>
      <c r="BP231" t="s">
        <v>973</v>
      </c>
      <c r="BQ231" t="s">
        <v>973</v>
      </c>
      <c r="BR231" t="s">
        <v>973</v>
      </c>
    </row>
    <row r="232" spans="1:70" x14ac:dyDescent="0.25">
      <c r="A232" t="s">
        <v>577</v>
      </c>
      <c r="B232" t="s">
        <v>578</v>
      </c>
      <c r="C232" t="s">
        <v>579</v>
      </c>
      <c r="D232" s="6"/>
      <c r="E232" s="9" t="str">
        <f>HYPERLINK("http://plants.ensembl.org/Triticum_aestivum/Gene/Summary?g=TRIAE_CS42_4DL_TGACv1_344456_AA1147310","TRIAE_CS42_4DL_TGACv1_344456_AA1147310")</f>
        <v>TRIAE_CS42_4DL_TGACv1_344456_AA1147310</v>
      </c>
      <c r="F232" s="9" t="str">
        <f>HYPERLINK("http://mar2016-plants.ensembl.org/Triticum_aestivum/Gene/Summary?db=core;g=Traes_4DL_C083C804E","Traes_4DL_C083C804E")</f>
        <v>Traes_4DL_C083C804E</v>
      </c>
      <c r="H232" s="8" t="str">
        <f>HYPERLINK("http://plants.ensembl.org/Brachypodium_distachyon/Gene/Summary?g=Bradi1g63780","Bradi1g63780")</f>
        <v>Bradi1g63780</v>
      </c>
      <c r="I232" s="8" t="str">
        <f>HYPERLINK("http://plants.ensembl.org/Arabidopsis_thaliana/Gene/Summary?g=AT3G20770","AT3G20770")</f>
        <v>AT3G20770</v>
      </c>
      <c r="J232" s="9" t="str">
        <f>HYPERLINK("http://plants.ensembl.org/Oryza_sativa/Gene/Summary?db=otherfeatures;g=LOC_Os03g20790","LOC_Os03g20790")</f>
        <v>LOC_Os03g20790</v>
      </c>
      <c r="L232" s="6"/>
      <c r="M232" s="1" t="s">
        <v>973</v>
      </c>
      <c r="N232" s="1" t="s">
        <v>973</v>
      </c>
      <c r="O232" s="1">
        <v>1</v>
      </c>
      <c r="P232" s="1" t="s">
        <v>973</v>
      </c>
      <c r="Q232" s="1" t="s">
        <v>973</v>
      </c>
      <c r="R232" s="1" t="s">
        <v>973</v>
      </c>
      <c r="S232" s="1"/>
      <c r="T232" s="6"/>
      <c r="U232" s="11">
        <v>9.0475911896271448</v>
      </c>
      <c r="V232" s="11">
        <v>9.7116732822945195</v>
      </c>
      <c r="W232" s="11">
        <v>8.6835984468884035</v>
      </c>
      <c r="X232" s="11">
        <v>8.9138573929805052</v>
      </c>
      <c r="Y232" s="11">
        <v>8.9860767708103673</v>
      </c>
      <c r="Z232" s="11">
        <v>8.4303329493800074</v>
      </c>
      <c r="AA232" s="11">
        <v>9.1061627251711883</v>
      </c>
      <c r="AB232" s="11">
        <v>8.8597606718612756</v>
      </c>
      <c r="AC232" s="11">
        <v>8.3082693968055743</v>
      </c>
      <c r="AD232" s="11">
        <v>8.5946537919868522</v>
      </c>
      <c r="AE232" s="11">
        <v>8.0504077349180942</v>
      </c>
      <c r="AF232" s="11">
        <v>7.8503116678290024</v>
      </c>
      <c r="AG232" s="11">
        <v>8.4078331162559561</v>
      </c>
      <c r="AH232" s="11">
        <v>7.4669160977367284</v>
      </c>
      <c r="AI232" s="11">
        <v>8.3525494761033112</v>
      </c>
      <c r="AJ232" s="11">
        <v>7.4182115972061062</v>
      </c>
      <c r="AK232" s="6"/>
      <c r="AL232" t="s">
        <v>1077</v>
      </c>
      <c r="AM232">
        <v>1</v>
      </c>
      <c r="AN232" s="6"/>
      <c r="AO232" s="20">
        <v>0.75600000000000001</v>
      </c>
      <c r="AP232" s="20">
        <v>1.1236999999999999</v>
      </c>
      <c r="AQ232" s="20">
        <v>0.63170000000000004</v>
      </c>
      <c r="AR232" s="20">
        <v>1.056</v>
      </c>
      <c r="AS232" s="20">
        <v>0.57689999999999997</v>
      </c>
      <c r="AT232" s="20">
        <v>0.96489999999999998</v>
      </c>
      <c r="AU232" s="20">
        <v>0.75160000000000005</v>
      </c>
      <c r="AV232" s="20">
        <v>1.4407000000000001</v>
      </c>
      <c r="AW232" s="6"/>
      <c r="AX232" s="18">
        <v>9.1660000000000005E-3</v>
      </c>
      <c r="AY232" s="18">
        <v>1.5860000000000001E-4</v>
      </c>
      <c r="AZ232" s="18">
        <v>2.776E-2</v>
      </c>
      <c r="BA232" s="18">
        <v>2.4640000000000003E-4</v>
      </c>
      <c r="BB232" s="18">
        <v>4.3180000000000003E-2</v>
      </c>
      <c r="BC232" s="18">
        <v>8.788E-4</v>
      </c>
      <c r="BD232" s="18">
        <v>8.4700000000000001E-3</v>
      </c>
      <c r="BE232" s="18">
        <v>6.2259999999999998E-7</v>
      </c>
      <c r="BF232" s="13"/>
      <c r="BG232" t="s">
        <v>1330</v>
      </c>
      <c r="BH232" t="s">
        <v>1253</v>
      </c>
      <c r="BI232" t="s">
        <v>1292</v>
      </c>
      <c r="BJ232" t="s">
        <v>1114</v>
      </c>
      <c r="BK232" t="s">
        <v>1115</v>
      </c>
      <c r="BL232" t="s">
        <v>1116</v>
      </c>
      <c r="BM232" t="s">
        <v>1117</v>
      </c>
      <c r="BN232" s="13"/>
      <c r="BO232" t="s">
        <v>973</v>
      </c>
      <c r="BP232" t="s">
        <v>973</v>
      </c>
      <c r="BQ232" t="s">
        <v>973</v>
      </c>
      <c r="BR232" t="s">
        <v>973</v>
      </c>
    </row>
    <row r="233" spans="1:70" x14ac:dyDescent="0.25">
      <c r="A233" t="s">
        <v>12</v>
      </c>
      <c r="B233" t="s">
        <v>13</v>
      </c>
      <c r="C233" t="s">
        <v>14</v>
      </c>
      <c r="D233" s="6"/>
      <c r="E233" s="9" t="str">
        <f>HYPERLINK("http://plants.ensembl.org/Triticum_aestivum/Gene/Summary?g=TRIAE_CS42_1AS_TGACv1_019548_AA0067950","TRIAE_CS42_1AS_TGACv1_019548_AA0067950")</f>
        <v>TRIAE_CS42_1AS_TGACv1_019548_AA0067950</v>
      </c>
      <c r="F233" s="9" t="str">
        <f>HYPERLINK("http://mar2016-plants.ensembl.org/Triticum_aestivum/Gene/Summary?db=core;g=Traes_1AS_12D250EF6","Traes_1AS_12D250EF6")</f>
        <v>Traes_1AS_12D250EF6</v>
      </c>
      <c r="H233" s="8" t="str">
        <f>HYPERLINK("http://plants.ensembl.org/Brachypodium_distachyon/Gene/Summary?g=Bradi2g35080","Bradi2g35080")</f>
        <v>Bradi2g35080</v>
      </c>
      <c r="I233" s="1" t="s">
        <v>1051</v>
      </c>
      <c r="J233" s="9" t="str">
        <f>HYPERLINK("http://plants.ensembl.org/Oryza_sativa/Gene/Summary?db=otherfeatures;g=LOC_Os05g06320","LOC_Os05g06320")</f>
        <v>LOC_Os05g06320</v>
      </c>
      <c r="L233" s="6"/>
      <c r="M233" s="1" t="s">
        <v>973</v>
      </c>
      <c r="N233" s="1" t="s">
        <v>973</v>
      </c>
      <c r="O233" s="1">
        <v>1</v>
      </c>
      <c r="P233" s="1" t="s">
        <v>973</v>
      </c>
      <c r="Q233" s="1" t="s">
        <v>973</v>
      </c>
      <c r="R233" s="1" t="s">
        <v>973</v>
      </c>
      <c r="S233" s="1"/>
      <c r="T233" s="6"/>
      <c r="U233" s="11">
        <v>7.3332504830330025</v>
      </c>
      <c r="V233" s="11">
        <v>6.5465889156437402</v>
      </c>
      <c r="W233" s="11">
        <v>7.6531715884699123</v>
      </c>
      <c r="X233" s="11">
        <v>7.2082434640785698</v>
      </c>
      <c r="Y233" s="11">
        <v>7.316136387438255</v>
      </c>
      <c r="Z233" s="11">
        <v>6.9961145239617419</v>
      </c>
      <c r="AA233" s="11">
        <v>7.7160253462205173</v>
      </c>
      <c r="AB233" s="11">
        <v>7.6582712367049623</v>
      </c>
      <c r="AC233" s="11">
        <v>7.6987055926874426</v>
      </c>
      <c r="AD233" s="11">
        <v>6.5197908658248851</v>
      </c>
      <c r="AE233" s="11">
        <v>6.9587730902030307</v>
      </c>
      <c r="AF233" s="11">
        <v>6.875200116767572</v>
      </c>
      <c r="AG233" s="11">
        <v>7.5073966551386038</v>
      </c>
      <c r="AH233" s="11">
        <v>6.7644748779742496</v>
      </c>
      <c r="AI233" s="11">
        <v>7.7784926797801699</v>
      </c>
      <c r="AJ233" s="11">
        <v>7.2455270369887037</v>
      </c>
      <c r="AK233" s="6"/>
      <c r="AL233" t="s">
        <v>1105</v>
      </c>
      <c r="AM233">
        <v>0</v>
      </c>
      <c r="AN233" s="6"/>
      <c r="AO233" s="20">
        <v>-0.35780000000000001</v>
      </c>
      <c r="AP233" s="20">
        <v>-0.12429999999999999</v>
      </c>
      <c r="AQ233" s="20">
        <v>0.6966</v>
      </c>
      <c r="AR233" s="20">
        <v>0.34710000000000002</v>
      </c>
      <c r="AS233" s="20">
        <v>-0.20269999999999999</v>
      </c>
      <c r="AT233" s="20">
        <v>0.23039999999999999</v>
      </c>
      <c r="AU233" s="20">
        <v>-6.0600000000000001E-2</v>
      </c>
      <c r="AV233" s="20">
        <v>0.4138</v>
      </c>
      <c r="AW233" s="6"/>
      <c r="AX233" s="18">
        <v>2.911E-2</v>
      </c>
      <c r="AY233" s="18">
        <v>0.59189999999999998</v>
      </c>
      <c r="AZ233" s="18">
        <v>3.5880000000000002E-6</v>
      </c>
      <c r="BA233" s="18">
        <v>2.7519999999999999E-2</v>
      </c>
      <c r="BB233" s="18">
        <v>0.16719999999999999</v>
      </c>
      <c r="BC233" s="18">
        <v>0.1492</v>
      </c>
      <c r="BD233" s="18">
        <v>0.66890000000000005</v>
      </c>
      <c r="BE233" s="18">
        <v>5.6140000000000001E-3</v>
      </c>
      <c r="BF233" s="13"/>
      <c r="BG233" t="s">
        <v>1111</v>
      </c>
      <c r="BH233" t="s">
        <v>1130</v>
      </c>
      <c r="BI233" t="s">
        <v>1113</v>
      </c>
      <c r="BJ233" t="s">
        <v>1114</v>
      </c>
      <c r="BK233" t="s">
        <v>1182</v>
      </c>
      <c r="BL233" t="s">
        <v>1116</v>
      </c>
      <c r="BM233" t="s">
        <v>1117</v>
      </c>
      <c r="BN233" s="13"/>
      <c r="BO233" t="s">
        <v>973</v>
      </c>
      <c r="BP233" t="s">
        <v>973</v>
      </c>
      <c r="BQ233" t="s">
        <v>973</v>
      </c>
      <c r="BR233" t="s">
        <v>973</v>
      </c>
    </row>
    <row r="234" spans="1:70" x14ac:dyDescent="0.25">
      <c r="A234" t="s">
        <v>72</v>
      </c>
      <c r="B234" t="s">
        <v>13</v>
      </c>
      <c r="C234" t="s">
        <v>14</v>
      </c>
      <c r="D234" s="6"/>
      <c r="E234" s="9" t="str">
        <f>HYPERLINK("http://plants.ensembl.org/Triticum_aestivum/Gene/Summary?g=TRIAE_CS42_1BS_TGACv1_050644_AA0174120","TRIAE_CS42_1BS_TGACv1_050644_AA0174120")</f>
        <v>TRIAE_CS42_1BS_TGACv1_050644_AA0174120</v>
      </c>
      <c r="F234" s="9" t="str">
        <f>HYPERLINK("http://mar2016-plants.ensembl.org/Triticum_aestivum/Gene/Summary?db=core;g=Traes_1BS_79EF5B41A","Traes_1BS_79EF5B41A")</f>
        <v>Traes_1BS_79EF5B41A</v>
      </c>
      <c r="H234" s="8" t="str">
        <f>HYPERLINK("http://plants.ensembl.org/Brachypodium_distachyon/Gene/Summary?g=Bradi2g35080","Bradi2g35080")</f>
        <v>Bradi2g35080</v>
      </c>
      <c r="I234" s="1" t="s">
        <v>1051</v>
      </c>
      <c r="J234" s="9" t="str">
        <f>HYPERLINK("http://plants.ensembl.org/Oryza_sativa/Gene/Summary?db=otherfeatures;g=LOC_Os05g06320","LOC_Os05g06320")</f>
        <v>LOC_Os05g06320</v>
      </c>
      <c r="L234" s="6"/>
      <c r="M234" s="1" t="s">
        <v>973</v>
      </c>
      <c r="N234" s="1" t="s">
        <v>973</v>
      </c>
      <c r="O234" s="1">
        <v>1</v>
      </c>
      <c r="P234" s="1" t="s">
        <v>973</v>
      </c>
      <c r="Q234" s="1" t="s">
        <v>973</v>
      </c>
      <c r="R234" s="1" t="s">
        <v>973</v>
      </c>
      <c r="S234" s="1"/>
      <c r="T234" s="6"/>
      <c r="U234" s="11">
        <v>8.3666424861381472</v>
      </c>
      <c r="V234" s="11">
        <v>8.0709234412359017</v>
      </c>
      <c r="W234" s="11">
        <v>8.1433051456207526</v>
      </c>
      <c r="X234" s="11">
        <v>7.8583192425855595</v>
      </c>
      <c r="Y234" s="11">
        <v>8.2993087745225012</v>
      </c>
      <c r="Z234" s="11">
        <v>7.7324729517656223</v>
      </c>
      <c r="AA234" s="11">
        <v>3.3300133426918825</v>
      </c>
      <c r="AB234" s="11">
        <v>3.8828777738660021</v>
      </c>
      <c r="AC234" s="11">
        <v>7.7736902384596061</v>
      </c>
      <c r="AD234" s="11">
        <v>7.1619608899046794</v>
      </c>
      <c r="AE234" s="11">
        <v>7.3503030477332203</v>
      </c>
      <c r="AF234" s="11">
        <v>7.2255056675475036</v>
      </c>
      <c r="AG234" s="11">
        <v>7.4992891597682823</v>
      </c>
      <c r="AH234" s="11">
        <v>7.1323067576003911</v>
      </c>
      <c r="AI234" s="11">
        <v>4.0223441378386529</v>
      </c>
      <c r="AJ234" s="11">
        <v>3.9399756316408032</v>
      </c>
      <c r="AK234" s="6"/>
      <c r="AL234" t="s">
        <v>1083</v>
      </c>
      <c r="AM234">
        <v>242</v>
      </c>
      <c r="AN234" s="6"/>
      <c r="AO234" s="20">
        <v>0.61880000000000002</v>
      </c>
      <c r="AP234" s="20">
        <v>0.96850000000000003</v>
      </c>
      <c r="AQ234" s="20">
        <v>0.79579999999999995</v>
      </c>
      <c r="AR234" s="20">
        <v>0.6431</v>
      </c>
      <c r="AS234" s="20">
        <v>0.80030000000000001</v>
      </c>
      <c r="AT234" s="20">
        <v>0.59330000000000005</v>
      </c>
      <c r="AU234" s="20">
        <v>-0.85519999999999996</v>
      </c>
      <c r="AV234" s="20">
        <v>-5.74E-2</v>
      </c>
      <c r="AW234" s="6"/>
      <c r="AX234" s="18">
        <v>4.7200000000000002E-3</v>
      </c>
      <c r="AY234" s="18">
        <v>1.025E-4</v>
      </c>
      <c r="AZ234" s="18">
        <v>1.9489999999999999E-4</v>
      </c>
      <c r="BA234" s="18">
        <v>3.0479999999999999E-3</v>
      </c>
      <c r="BB234" s="18">
        <v>1.4750000000000001E-4</v>
      </c>
      <c r="BC234" s="18">
        <v>6.4260000000000003E-3</v>
      </c>
      <c r="BD234" s="18">
        <v>1.511E-2</v>
      </c>
      <c r="BE234" s="18">
        <v>0.86990000000000001</v>
      </c>
      <c r="BF234" s="13"/>
      <c r="BG234" t="s">
        <v>1111</v>
      </c>
      <c r="BH234" t="s">
        <v>1293</v>
      </c>
      <c r="BI234" t="s">
        <v>1350</v>
      </c>
      <c r="BJ234" t="s">
        <v>1114</v>
      </c>
      <c r="BK234" t="s">
        <v>1115</v>
      </c>
      <c r="BL234" t="s">
        <v>1203</v>
      </c>
      <c r="BM234" t="s">
        <v>1346</v>
      </c>
      <c r="BN234" s="13"/>
      <c r="BO234" t="s">
        <v>973</v>
      </c>
      <c r="BP234" t="s">
        <v>973</v>
      </c>
      <c r="BQ234" t="s">
        <v>973</v>
      </c>
      <c r="BR234" t="s">
        <v>973</v>
      </c>
    </row>
    <row r="235" spans="1:70" x14ac:dyDescent="0.25">
      <c r="A235" t="s">
        <v>123</v>
      </c>
      <c r="B235" t="s">
        <v>124</v>
      </c>
      <c r="C235" t="s">
        <v>14</v>
      </c>
      <c r="D235" s="6"/>
      <c r="E235" s="9" t="str">
        <f>HYPERLINK("http://plants.ensembl.org/Triticum_aestivum/Gene/Summary?g=TRIAE_CS42_2AS_TGACv1_112193_AA0332770","TRIAE_CS42_2AS_TGACv1_112193_AA0332770")</f>
        <v>TRIAE_CS42_2AS_TGACv1_112193_AA0332770</v>
      </c>
      <c r="G235" t="s">
        <v>1047</v>
      </c>
      <c r="H235" s="8" t="str">
        <f>HYPERLINK("http://plants.ensembl.org/Brachypodium_distachyon/Gene/Summary?g=Bradi5g00700","Bradi5g00700")</f>
        <v>Bradi5g00700</v>
      </c>
      <c r="I235" s="8" t="str">
        <f>HYPERLINK("http://plants.ensembl.org/Arabidopsis_thaliana/Gene/Summary?g=AT3G04580","AT3G04580")</f>
        <v>AT3G04580</v>
      </c>
      <c r="J235" s="9" t="str">
        <f>HYPERLINK("http://plants.ensembl.org/Oryza_sativa/Gene/Summary?db=otherfeatures;g=LOC_Os04g08740","LOC_Os04g08740")</f>
        <v>LOC_Os04g08740</v>
      </c>
      <c r="K235" s="9" t="str">
        <f>HYPERLINK("http://plants.ensembl.org/Zea_mays/Gene/Summary?db=otherfeatures;g=GRMZM2G089010","GRMZM2G089010")</f>
        <v>GRMZM2G089010</v>
      </c>
      <c r="L235" s="6"/>
      <c r="M235" t="s">
        <v>973</v>
      </c>
      <c r="N235" t="s">
        <v>973</v>
      </c>
      <c r="O235">
        <v>1</v>
      </c>
      <c r="P235" t="s">
        <v>973</v>
      </c>
      <c r="S235" t="s">
        <v>973</v>
      </c>
      <c r="T235" s="6"/>
      <c r="U235" s="11">
        <v>8.0555085846294556</v>
      </c>
      <c r="V235" s="11">
        <v>7.1330411474093696</v>
      </c>
      <c r="W235" s="11">
        <v>6.7610272461977976</v>
      </c>
      <c r="X235" s="11">
        <v>6.4378491501944755</v>
      </c>
      <c r="Y235" s="11">
        <v>6.9930085578856804</v>
      </c>
      <c r="Z235" s="11">
        <v>7.1221988512344323</v>
      </c>
      <c r="AA235" s="11">
        <v>7.3482058571997619</v>
      </c>
      <c r="AB235" s="11">
        <v>7.1280871455530654</v>
      </c>
      <c r="AC235" s="11">
        <v>6.4943430684504202</v>
      </c>
      <c r="AD235" s="11">
        <v>6.4915971288368555</v>
      </c>
      <c r="AE235" s="11">
        <v>5.3236318730765362</v>
      </c>
      <c r="AF235" s="11">
        <v>5.110520545788428</v>
      </c>
      <c r="AG235" s="11">
        <v>5.5278835620071067</v>
      </c>
      <c r="AH235" s="11">
        <v>5.3938360330153774</v>
      </c>
      <c r="AI235" s="11">
        <v>6.1641661195439106</v>
      </c>
      <c r="AJ235" s="11">
        <v>5.7400613595945194</v>
      </c>
      <c r="AK235" s="6"/>
      <c r="AL235" t="s">
        <v>1077</v>
      </c>
      <c r="AM235">
        <v>93</v>
      </c>
      <c r="AN235" s="6"/>
      <c r="AO235" s="20">
        <v>1.6041000000000001</v>
      </c>
      <c r="AP235" s="20">
        <v>0.74119999999999997</v>
      </c>
      <c r="AQ235" s="20">
        <v>1.4557</v>
      </c>
      <c r="AR235" s="20">
        <v>1.3436999999999999</v>
      </c>
      <c r="AS235" s="20">
        <v>1.4734</v>
      </c>
      <c r="AT235" s="20">
        <v>1.732</v>
      </c>
      <c r="AU235" s="20">
        <v>1.1938</v>
      </c>
      <c r="AV235" s="20">
        <v>1.3983000000000001</v>
      </c>
      <c r="AW235" s="6"/>
      <c r="AX235" s="18">
        <v>3.5000000000000002E-11</v>
      </c>
      <c r="AY235" s="18">
        <v>9.2339999999999992E-3</v>
      </c>
      <c r="AZ235" s="18">
        <v>1.002E-8</v>
      </c>
      <c r="BA235" s="18">
        <v>3.8589999999999998E-7</v>
      </c>
      <c r="BB235" s="18">
        <v>1.2219999999999999E-9</v>
      </c>
      <c r="BC235" s="18">
        <v>8.8630000000000005E-12</v>
      </c>
      <c r="BD235" s="18">
        <v>4.481E-7</v>
      </c>
      <c r="BE235" s="18">
        <v>1.2849999999999999E-8</v>
      </c>
      <c r="BF235" s="13"/>
      <c r="BG235" t="s">
        <v>1378</v>
      </c>
      <c r="BH235" t="s">
        <v>1197</v>
      </c>
      <c r="BI235" t="s">
        <v>1113</v>
      </c>
      <c r="BJ235" t="s">
        <v>1114</v>
      </c>
      <c r="BK235" t="s">
        <v>1115</v>
      </c>
      <c r="BL235" t="s">
        <v>1116</v>
      </c>
      <c r="BM235" t="s">
        <v>1117</v>
      </c>
      <c r="BN235" s="13"/>
      <c r="BO235" t="s">
        <v>973</v>
      </c>
      <c r="BP235" t="s">
        <v>973</v>
      </c>
      <c r="BQ235" t="s">
        <v>973</v>
      </c>
      <c r="BR235" t="s">
        <v>973</v>
      </c>
    </row>
    <row r="236" spans="1:70" x14ac:dyDescent="0.25">
      <c r="A236" t="s">
        <v>195</v>
      </c>
      <c r="B236" t="s">
        <v>124</v>
      </c>
      <c r="C236" t="s">
        <v>14</v>
      </c>
      <c r="D236" s="6"/>
      <c r="H236" s="8" t="str">
        <f>HYPERLINK("http://plants.ensembl.org/Brachypodium_distachyon/Gene/Summary?g=Bradi5g00700","Bradi5g00700")</f>
        <v>Bradi5g00700</v>
      </c>
      <c r="I236" s="8" t="str">
        <f>HYPERLINK("http://plants.ensembl.org/Arabidopsis_thaliana/Gene/Summary?g=AT3G04580","AT3G04580")</f>
        <v>AT3G04580</v>
      </c>
      <c r="J236" s="9" t="str">
        <f>HYPERLINK("http://plants.ensembl.org/Oryza_sativa/Gene/Summary?db=otherfeatures;g=LOC_Os04g08740","LOC_Os04g08740")</f>
        <v>LOC_Os04g08740</v>
      </c>
      <c r="L236" s="6"/>
      <c r="M236" s="1" t="s">
        <v>973</v>
      </c>
      <c r="N236" s="1" t="s">
        <v>973</v>
      </c>
      <c r="O236" s="1">
        <v>1</v>
      </c>
      <c r="P236" s="1" t="s">
        <v>973</v>
      </c>
      <c r="Q236" s="1" t="s">
        <v>973</v>
      </c>
      <c r="R236" s="1" t="s">
        <v>973</v>
      </c>
      <c r="S236" s="1"/>
      <c r="T236" s="6"/>
      <c r="U236" s="11">
        <v>7.7581403601150578</v>
      </c>
      <c r="V236" s="11">
        <v>7.3329969806745199</v>
      </c>
      <c r="W236" s="11">
        <v>8.148385738256005</v>
      </c>
      <c r="X236" s="11">
        <v>8.1658421132171615</v>
      </c>
      <c r="Y236" s="11">
        <v>7.9885387059121795</v>
      </c>
      <c r="Z236" s="11">
        <v>8.1116752537910877</v>
      </c>
      <c r="AA236" s="11">
        <v>8.1153468140902323</v>
      </c>
      <c r="AB236" s="11">
        <v>8.1716742102001891</v>
      </c>
      <c r="AC236" s="11">
        <v>6.4269210875469955</v>
      </c>
      <c r="AD236" s="11">
        <v>6.559277656825647</v>
      </c>
      <c r="AE236" s="11">
        <v>6.7793735483382633</v>
      </c>
      <c r="AF236" s="11">
        <v>7.2094705868858879</v>
      </c>
      <c r="AG236" s="11">
        <v>6.9127799825860219</v>
      </c>
      <c r="AH236" s="11">
        <v>7.5032872433276694</v>
      </c>
      <c r="AI236" s="11">
        <v>6.8593272966968559</v>
      </c>
      <c r="AJ236" s="11">
        <v>6.8988532765431003</v>
      </c>
      <c r="AK236" s="6"/>
      <c r="AL236" t="s">
        <v>1077</v>
      </c>
      <c r="AM236">
        <v>0</v>
      </c>
      <c r="AN236" s="6"/>
      <c r="AO236" s="20">
        <v>1.3480000000000001</v>
      </c>
      <c r="AP236" s="20">
        <v>0.67720000000000002</v>
      </c>
      <c r="AQ236" s="20">
        <v>1.37</v>
      </c>
      <c r="AR236" s="20">
        <v>0.95399999999999996</v>
      </c>
      <c r="AS236" s="20">
        <v>1.0704</v>
      </c>
      <c r="AT236" s="20">
        <v>0.61350000000000005</v>
      </c>
      <c r="AU236" s="20">
        <v>1.2621</v>
      </c>
      <c r="AV236" s="20">
        <v>1.276</v>
      </c>
      <c r="AW236" s="6"/>
      <c r="AX236" s="18">
        <v>1.9630000000000001E-8</v>
      </c>
      <c r="AY236" s="18">
        <v>1.4250000000000001E-2</v>
      </c>
      <c r="AZ236" s="18">
        <v>8.8709999999999997E-10</v>
      </c>
      <c r="BA236" s="18">
        <v>1.7419999999999999E-5</v>
      </c>
      <c r="BB236" s="18">
        <v>1.223E-6</v>
      </c>
      <c r="BC236" s="18">
        <v>5.3249999999999999E-3</v>
      </c>
      <c r="BD236" s="18">
        <v>1.3259999999999999E-8</v>
      </c>
      <c r="BE236" s="18">
        <v>1.088E-8</v>
      </c>
      <c r="BF236" s="13"/>
      <c r="BG236" t="s">
        <v>1349</v>
      </c>
      <c r="BH236" t="s">
        <v>1112</v>
      </c>
      <c r="BI236" t="s">
        <v>1113</v>
      </c>
      <c r="BJ236" t="s">
        <v>1114</v>
      </c>
      <c r="BK236" t="s">
        <v>1115</v>
      </c>
      <c r="BL236" t="s">
        <v>1116</v>
      </c>
      <c r="BM236" t="s">
        <v>1117</v>
      </c>
      <c r="BN236" s="13"/>
      <c r="BO236" t="s">
        <v>973</v>
      </c>
      <c r="BP236" t="s">
        <v>973</v>
      </c>
      <c r="BQ236" t="s">
        <v>973</v>
      </c>
      <c r="BR236" t="s">
        <v>973</v>
      </c>
    </row>
    <row r="237" spans="1:70" x14ac:dyDescent="0.25">
      <c r="A237" t="s">
        <v>249</v>
      </c>
      <c r="B237" t="s">
        <v>124</v>
      </c>
      <c r="C237" t="s">
        <v>14</v>
      </c>
      <c r="D237" s="6"/>
      <c r="E237" s="9" t="str">
        <f>HYPERLINK("http://plants.ensembl.org/Triticum_aestivum/Gene/Summary?g=TRIAE_CS42_2DS_TGACv1_178853_AA0601780","TRIAE_CS42_2DS_TGACv1_178853_AA0601780")</f>
        <v>TRIAE_CS42_2DS_TGACv1_178853_AA0601780</v>
      </c>
      <c r="F237" s="9" t="str">
        <f>HYPERLINK("http://mar2016-plants.ensembl.org/Triticum_aestivum/Gene/Summary?db=core;g=Traes_2DS_3109276AA","Traes_2DS_3109276AA")</f>
        <v>Traes_2DS_3109276AA</v>
      </c>
      <c r="G237" t="s">
        <v>992</v>
      </c>
      <c r="H237" s="8" t="str">
        <f>HYPERLINK("http://plants.ensembl.org/Brachypodium_distachyon/Gene/Summary?g=Bradi5g00700","Bradi5g00700")</f>
        <v>Bradi5g00700</v>
      </c>
      <c r="I237" s="8" t="str">
        <f>HYPERLINK("http://plants.ensembl.org/Arabidopsis_thaliana/Gene/Summary?g=AT3G04580","AT3G04580")</f>
        <v>AT3G04580</v>
      </c>
      <c r="J237" s="9" t="str">
        <f>HYPERLINK("http://plants.ensembl.org/Oryza_sativa/Gene/Summary?db=otherfeatures;g=LOC_Os04g08740","LOC_Os04g08740")</f>
        <v>LOC_Os04g08740</v>
      </c>
      <c r="K237" s="9" t="str">
        <f>HYPERLINK("http://plants.ensembl.org/Zea_mays/Gene/Summary?db=otherfeatures;g=GRMZM2G075368","GRMZM2G075368")</f>
        <v>GRMZM2G075368</v>
      </c>
      <c r="L237" s="6"/>
      <c r="M237" t="s">
        <v>973</v>
      </c>
      <c r="N237" t="s">
        <v>973</v>
      </c>
      <c r="O237">
        <v>1</v>
      </c>
      <c r="P237" t="s">
        <v>973</v>
      </c>
      <c r="S237">
        <v>1</v>
      </c>
      <c r="T237" s="6"/>
      <c r="U237" s="11">
        <v>8.6320718676322734</v>
      </c>
      <c r="V237" s="11">
        <v>7.8632285709119625</v>
      </c>
      <c r="W237" s="11">
        <v>7.8307788451105882</v>
      </c>
      <c r="X237" s="11">
        <v>7.5728825963687338</v>
      </c>
      <c r="Y237" s="11">
        <v>7.6947441794229841</v>
      </c>
      <c r="Z237" s="11">
        <v>7.6238485764431685</v>
      </c>
      <c r="AA237" s="11">
        <v>7.8199150825536536</v>
      </c>
      <c r="AB237" s="11">
        <v>7.7990508150321247</v>
      </c>
      <c r="AC237" s="11">
        <v>6.5909527607451652</v>
      </c>
      <c r="AD237" s="11">
        <v>6.5326109964198711</v>
      </c>
      <c r="AE237" s="11">
        <v>6.3148439291768286</v>
      </c>
      <c r="AF237" s="11">
        <v>6.0983584952748879</v>
      </c>
      <c r="AG237" s="11">
        <v>6.2185784117527945</v>
      </c>
      <c r="AH237" s="11">
        <v>6.3969637692268284</v>
      </c>
      <c r="AI237" s="11">
        <v>6.2386238339876563</v>
      </c>
      <c r="AJ237" s="11">
        <v>6.0437272652818592</v>
      </c>
      <c r="AK237" s="6"/>
      <c r="AL237" t="s">
        <v>1077</v>
      </c>
      <c r="AM237">
        <v>1370</v>
      </c>
      <c r="AN237" s="6"/>
      <c r="AO237" s="20">
        <v>2.0796000000000001</v>
      </c>
      <c r="AP237" s="20">
        <v>1.3509</v>
      </c>
      <c r="AQ237" s="20">
        <v>1.5172000000000001</v>
      </c>
      <c r="AR237" s="20">
        <v>1.4839</v>
      </c>
      <c r="AS237" s="20">
        <v>1.4728000000000001</v>
      </c>
      <c r="AT237" s="20">
        <v>1.2321</v>
      </c>
      <c r="AU237" s="20">
        <v>1.5959000000000001</v>
      </c>
      <c r="AV237" s="20">
        <v>1.7648999999999999</v>
      </c>
      <c r="AW237" s="6"/>
      <c r="AX237" s="18">
        <v>7.1599999999999995E-17</v>
      </c>
      <c r="AY237" s="18">
        <v>1.733E-6</v>
      </c>
      <c r="AZ237" s="18">
        <v>7.1079999999999996E-10</v>
      </c>
      <c r="BA237" s="18">
        <v>3.8199999999999996E-9</v>
      </c>
      <c r="BB237" s="18">
        <v>1.51E-9</v>
      </c>
      <c r="BC237" s="18">
        <v>6.7120000000000003E-7</v>
      </c>
      <c r="BD237" s="18">
        <v>8.5770000000000005E-11</v>
      </c>
      <c r="BE237" s="18">
        <v>1.6029999999999999E-12</v>
      </c>
      <c r="BF237" s="13"/>
      <c r="BG237" t="s">
        <v>1131</v>
      </c>
      <c r="BH237" t="s">
        <v>1112</v>
      </c>
      <c r="BI237" t="s">
        <v>1113</v>
      </c>
      <c r="BJ237" t="s">
        <v>1114</v>
      </c>
      <c r="BK237" t="s">
        <v>1115</v>
      </c>
      <c r="BL237" t="s">
        <v>1116</v>
      </c>
      <c r="BM237" t="s">
        <v>1117</v>
      </c>
      <c r="BN237" s="13"/>
      <c r="BO237" t="s">
        <v>973</v>
      </c>
      <c r="BP237" t="s">
        <v>973</v>
      </c>
      <c r="BQ237" t="s">
        <v>973</v>
      </c>
      <c r="BR237" t="s">
        <v>973</v>
      </c>
    </row>
    <row r="238" spans="1:70" x14ac:dyDescent="0.25">
      <c r="A238" t="s">
        <v>512</v>
      </c>
      <c r="B238" t="s">
        <v>513</v>
      </c>
      <c r="C238" t="s">
        <v>14</v>
      </c>
      <c r="D238" s="6"/>
      <c r="E238" s="9" t="str">
        <f>HYPERLINK("http://plants.ensembl.org/Triticum_aestivum/Gene/Summary?g=TRIAE_CS42_4AL_TGACv1_289449_AA0971450","TRIAE_CS42_4AL_TGACv1_289449_AA0971450")</f>
        <v>TRIAE_CS42_4AL_TGACv1_289449_AA0971450</v>
      </c>
      <c r="F238" s="9" t="str">
        <f>HYPERLINK("http://mar2016-plants.ensembl.org/Triticum_aestivum/Gene/Summary?db=core;g=Traes_4AL_0CCCC6043","Traes_4AL_0CCCC6043")</f>
        <v>Traes_4AL_0CCCC6043</v>
      </c>
      <c r="H238" s="1" t="s">
        <v>1051</v>
      </c>
      <c r="I238" s="1" t="s">
        <v>1051</v>
      </c>
      <c r="J238" s="1" t="s">
        <v>1051</v>
      </c>
      <c r="L238" s="6"/>
      <c r="M238" s="1" t="s">
        <v>973</v>
      </c>
      <c r="N238" s="1" t="s">
        <v>973</v>
      </c>
      <c r="O238" s="1">
        <v>1</v>
      </c>
      <c r="P238" s="1" t="s">
        <v>973</v>
      </c>
      <c r="Q238" s="1" t="s">
        <v>973</v>
      </c>
      <c r="R238" s="1" t="s">
        <v>973</v>
      </c>
      <c r="S238" s="1"/>
      <c r="T238" s="6"/>
      <c r="U238" s="11">
        <v>6.8310986106856744</v>
      </c>
      <c r="V238" s="11">
        <v>8.5898584702685952</v>
      </c>
      <c r="W238" s="11">
        <v>7.5177433907836075</v>
      </c>
      <c r="X238" s="11">
        <v>7.5500066533077277</v>
      </c>
      <c r="Y238" s="11">
        <v>6.8484297336231759</v>
      </c>
      <c r="Z238" s="11">
        <v>7.4945833496809433</v>
      </c>
      <c r="AA238" s="11">
        <v>6.5278163318148366</v>
      </c>
      <c r="AB238" s="11">
        <v>7.953228759821716</v>
      </c>
      <c r="AC238" s="11">
        <v>7.492416438891742</v>
      </c>
      <c r="AD238" s="11">
        <v>8.9603798416298819</v>
      </c>
      <c r="AE238" s="11">
        <v>7.9055835632146882</v>
      </c>
      <c r="AF238" s="11">
        <v>7.9607404723885029</v>
      </c>
      <c r="AG238" s="11">
        <v>7.5823462470432927</v>
      </c>
      <c r="AH238" s="11">
        <v>8.3656264926394304</v>
      </c>
      <c r="AI238" s="11">
        <v>7.6925462274236214</v>
      </c>
      <c r="AJ238" s="11">
        <v>8.088618655779575</v>
      </c>
      <c r="AK238" s="6"/>
      <c r="AL238" t="s">
        <v>1094</v>
      </c>
      <c r="AM238">
        <v>0</v>
      </c>
      <c r="AN238" s="6"/>
      <c r="AO238" s="20">
        <v>-0.66410000000000002</v>
      </c>
      <c r="AP238" s="20">
        <v>-0.43280000000000002</v>
      </c>
      <c r="AQ238" s="20">
        <v>-0.38840000000000002</v>
      </c>
      <c r="AR238" s="20">
        <v>-0.41410000000000002</v>
      </c>
      <c r="AS238" s="20">
        <v>-0.74150000000000005</v>
      </c>
      <c r="AT238" s="20">
        <v>-0.87190000000000001</v>
      </c>
      <c r="AU238" s="20">
        <v>-1.1735</v>
      </c>
      <c r="AV238" s="20">
        <v>-0.13420000000000001</v>
      </c>
      <c r="AW238" s="6"/>
      <c r="AX238" s="18">
        <v>9.495E-3</v>
      </c>
      <c r="AY238" s="18">
        <v>8.1280000000000005E-2</v>
      </c>
      <c r="AZ238" s="18">
        <v>9.572E-2</v>
      </c>
      <c r="BA238" s="18">
        <v>7.7200000000000005E-2</v>
      </c>
      <c r="BB238" s="18">
        <v>1.833E-3</v>
      </c>
      <c r="BC238" s="18">
        <v>1.7760000000000001E-4</v>
      </c>
      <c r="BD238" s="18">
        <v>8.1780000000000003E-7</v>
      </c>
      <c r="BE238" s="18">
        <v>0.56279999999999997</v>
      </c>
      <c r="BF238" s="13"/>
      <c r="BG238" t="s">
        <v>1227</v>
      </c>
      <c r="BH238" t="s">
        <v>1253</v>
      </c>
      <c r="BI238" t="s">
        <v>1180</v>
      </c>
      <c r="BJ238" t="s">
        <v>1233</v>
      </c>
      <c r="BK238" t="s">
        <v>1151</v>
      </c>
      <c r="BL238" t="s">
        <v>1116</v>
      </c>
      <c r="BM238" t="s">
        <v>1117</v>
      </c>
      <c r="BN238" s="13"/>
      <c r="BO238" t="s">
        <v>973</v>
      </c>
      <c r="BP238" t="s">
        <v>973</v>
      </c>
      <c r="BQ238" t="s">
        <v>973</v>
      </c>
      <c r="BR238" t="s">
        <v>973</v>
      </c>
    </row>
    <row r="239" spans="1:70" x14ac:dyDescent="0.25">
      <c r="A239" t="s">
        <v>664</v>
      </c>
      <c r="B239" t="s">
        <v>665</v>
      </c>
      <c r="C239" t="s">
        <v>14</v>
      </c>
      <c r="D239" s="6"/>
      <c r="E239" s="9" t="str">
        <f>HYPERLINK("http://plants.ensembl.org/Triticum_aestivum/Gene/Summary?g=TRIAE_CS42_5BS_TGACv1_423227_AA1371660","TRIAE_CS42_5BS_TGACv1_423227_AA1371660")</f>
        <v>TRIAE_CS42_5BS_TGACv1_423227_AA1371660</v>
      </c>
      <c r="F239" s="9" t="str">
        <f>HYPERLINK("http://mar2016-plants.ensembl.org/Triticum_aestivum/Gene/Summary?db=core;g=Traes_5BS_8563BAF4B","Traes_5BS_8563BAF4B")</f>
        <v>Traes_5BS_8563BAF4B</v>
      </c>
      <c r="H239" s="8" t="str">
        <f>HYPERLINK("http://plants.ensembl.org/Brachypodium_distachyon/Gene/Summary?g=Bradi4g00200","Bradi4g00200")</f>
        <v>Bradi4g00200</v>
      </c>
      <c r="I239" s="8" t="str">
        <f>HYPERLINK("http://plants.ensembl.org/Arabidopsis_thaliana/Gene/Summary?g=AT1G66340","AT1G66340")</f>
        <v>AT1G66340</v>
      </c>
      <c r="J239" s="9" t="str">
        <f>HYPERLINK("http://plants.ensembl.org/Oryza_sativa/Gene/Summary?db=otherfeatures;g=LOC_Os03g49500","LOC_Os03g49500")</f>
        <v>LOC_Os03g49500</v>
      </c>
      <c r="L239" s="6"/>
      <c r="M239" s="1" t="s">
        <v>973</v>
      </c>
      <c r="N239" s="1" t="s">
        <v>973</v>
      </c>
      <c r="O239" s="1">
        <v>1</v>
      </c>
      <c r="P239" s="1" t="s">
        <v>973</v>
      </c>
      <c r="Q239" s="1" t="s">
        <v>973</v>
      </c>
      <c r="R239" s="1" t="s">
        <v>973</v>
      </c>
      <c r="S239" s="1"/>
      <c r="T239" s="6"/>
      <c r="U239" s="11">
        <v>7.5599758424534436</v>
      </c>
      <c r="V239" s="11">
        <v>6.6140820861432239</v>
      </c>
      <c r="W239" s="11">
        <v>7.4688173395648398</v>
      </c>
      <c r="X239" s="11">
        <v>7.4988598414248724</v>
      </c>
      <c r="Y239" s="11">
        <v>7.1714086779587207</v>
      </c>
      <c r="Z239" s="11">
        <v>7.1254217365726715</v>
      </c>
      <c r="AA239" s="11">
        <v>7.4181871363296787</v>
      </c>
      <c r="AB239" s="11">
        <v>7.3515182053969701</v>
      </c>
      <c r="AC239" s="11">
        <v>7.4498337112433068</v>
      </c>
      <c r="AD239" s="11">
        <v>6.6163640689641401</v>
      </c>
      <c r="AE239" s="11">
        <v>6.9636717873980878</v>
      </c>
      <c r="AF239" s="11">
        <v>6.447543382180708</v>
      </c>
      <c r="AG239" s="11">
        <v>7.3024070992137373</v>
      </c>
      <c r="AH239" s="11">
        <v>6.7060276489296742</v>
      </c>
      <c r="AI239" s="11">
        <v>7.287803785811521</v>
      </c>
      <c r="AJ239" s="11">
        <v>6.8117574346084684</v>
      </c>
      <c r="AK239" s="6"/>
      <c r="AL239" t="s">
        <v>1105</v>
      </c>
      <c r="AM239">
        <v>0</v>
      </c>
      <c r="AN239" s="6"/>
      <c r="AO239" s="20">
        <v>0.13569999999999999</v>
      </c>
      <c r="AP239" s="20">
        <v>-1.1299999999999999E-2</v>
      </c>
      <c r="AQ239" s="20">
        <v>0.50260000000000005</v>
      </c>
      <c r="AR239" s="20">
        <v>1.042</v>
      </c>
      <c r="AS239" s="20">
        <v>-0.1371</v>
      </c>
      <c r="AT239" s="20">
        <v>0.41720000000000002</v>
      </c>
      <c r="AU239" s="20">
        <v>0.1231</v>
      </c>
      <c r="AV239" s="20">
        <v>0.54149999999999998</v>
      </c>
      <c r="AW239" s="6"/>
      <c r="AX239" s="18">
        <v>0.46920000000000001</v>
      </c>
      <c r="AY239" s="18">
        <v>0.96309999999999996</v>
      </c>
      <c r="AZ239" s="18">
        <v>4.529E-3</v>
      </c>
      <c r="BA239" s="18">
        <v>1.712E-8</v>
      </c>
      <c r="BB239" s="18">
        <v>0.43409999999999999</v>
      </c>
      <c r="BC239" s="18">
        <v>2.3259999999999999E-2</v>
      </c>
      <c r="BD239" s="18">
        <v>0.47739999999999999</v>
      </c>
      <c r="BE239" s="18">
        <v>2.7780000000000001E-3</v>
      </c>
      <c r="BF239" s="13"/>
      <c r="BG239" t="s">
        <v>1153</v>
      </c>
      <c r="BH239" t="s">
        <v>1112</v>
      </c>
      <c r="BI239" t="s">
        <v>1113</v>
      </c>
      <c r="BJ239" t="s">
        <v>1114</v>
      </c>
      <c r="BK239" t="s">
        <v>1115</v>
      </c>
      <c r="BL239" t="s">
        <v>1116</v>
      </c>
      <c r="BM239" t="s">
        <v>1117</v>
      </c>
      <c r="BN239" s="13"/>
      <c r="BO239" t="s">
        <v>973</v>
      </c>
      <c r="BP239" t="s">
        <v>973</v>
      </c>
      <c r="BQ239" t="s">
        <v>973</v>
      </c>
      <c r="BR239" t="s">
        <v>973</v>
      </c>
    </row>
    <row r="240" spans="1:70" x14ac:dyDescent="0.25">
      <c r="A240" t="s">
        <v>712</v>
      </c>
      <c r="B240" t="s">
        <v>513</v>
      </c>
      <c r="C240" t="s">
        <v>14</v>
      </c>
      <c r="D240" s="6"/>
      <c r="E240" s="9" t="str">
        <f>HYPERLINK("http://plants.ensembl.org/Triticum_aestivum/Gene/Summary?g=TRIAE_CS42_5BL_TGACv1_404270_AA1293230","TRIAE_CS42_5BL_TGACv1_404270_AA1293230")</f>
        <v>TRIAE_CS42_5BL_TGACv1_404270_AA1293230</v>
      </c>
      <c r="H240" s="1" t="s">
        <v>1051</v>
      </c>
      <c r="I240" s="1" t="s">
        <v>1051</v>
      </c>
      <c r="J240" s="1" t="s">
        <v>1051</v>
      </c>
      <c r="L240" s="6"/>
      <c r="M240" s="1" t="s">
        <v>973</v>
      </c>
      <c r="N240" s="1" t="s">
        <v>973</v>
      </c>
      <c r="O240" s="1">
        <v>1</v>
      </c>
      <c r="P240" s="1" t="s">
        <v>973</v>
      </c>
      <c r="Q240" s="1" t="s">
        <v>973</v>
      </c>
      <c r="R240" s="1" t="s">
        <v>973</v>
      </c>
      <c r="S240" s="1"/>
      <c r="T240" s="6"/>
      <c r="U240" s="11">
        <v>5.4344959050292632</v>
      </c>
      <c r="V240" s="11">
        <v>9.146133828893376</v>
      </c>
      <c r="W240" s="11">
        <v>4.1599009302192966</v>
      </c>
      <c r="X240" s="11">
        <v>7.8620907551512778</v>
      </c>
      <c r="Y240" s="11">
        <v>3.414906749116057</v>
      </c>
      <c r="Z240" s="11">
        <v>8.1249763335369032</v>
      </c>
      <c r="AA240" s="11">
        <v>6.1660271356117571</v>
      </c>
      <c r="AB240" s="11">
        <v>8.5594988237396059</v>
      </c>
      <c r="AC240" s="11">
        <v>4.5107109022513381</v>
      </c>
      <c r="AD240" s="11">
        <v>9.5468111360566503</v>
      </c>
      <c r="AE240" s="11">
        <v>4.635024928223606</v>
      </c>
      <c r="AF240" s="11">
        <v>7.1850015938572058</v>
      </c>
      <c r="AG240" s="11">
        <v>2.1258274055895034</v>
      </c>
      <c r="AH240" s="11">
        <v>8.9912105985244288</v>
      </c>
      <c r="AI240" s="11">
        <v>6.3413939881232633</v>
      </c>
      <c r="AJ240" s="11">
        <v>8.8253577196387223</v>
      </c>
      <c r="AK240" s="6"/>
      <c r="AL240" t="s">
        <v>1080</v>
      </c>
      <c r="AM240">
        <v>0</v>
      </c>
      <c r="AN240" s="6"/>
      <c r="AO240" s="20">
        <v>0.83830000000000005</v>
      </c>
      <c r="AP240" s="20">
        <v>-0.40179999999999999</v>
      </c>
      <c r="AQ240" s="20">
        <v>-0.48159999999999997</v>
      </c>
      <c r="AR240" s="20">
        <v>0.66490000000000005</v>
      </c>
      <c r="AS240" s="20">
        <v>1.4535</v>
      </c>
      <c r="AT240" s="20">
        <v>-0.85009999999999997</v>
      </c>
      <c r="AU240" s="20">
        <v>-0.1694</v>
      </c>
      <c r="AV240" s="20">
        <v>-0.26100000000000001</v>
      </c>
      <c r="AW240" s="6"/>
      <c r="AX240" s="18">
        <v>0.22620000000000001</v>
      </c>
      <c r="AY240" s="18">
        <v>0.53839999999999999</v>
      </c>
      <c r="AZ240" s="18">
        <v>0.48</v>
      </c>
      <c r="BA240" s="18">
        <v>0.307</v>
      </c>
      <c r="BB240" s="18">
        <v>5.253E-2</v>
      </c>
      <c r="BC240" s="18">
        <v>0.1898</v>
      </c>
      <c r="BD240" s="18">
        <v>0.79600000000000004</v>
      </c>
      <c r="BE240" s="18">
        <v>0.68710000000000004</v>
      </c>
      <c r="BF240" s="13"/>
      <c r="BG240" t="s">
        <v>1111</v>
      </c>
      <c r="BH240" t="s">
        <v>1112</v>
      </c>
      <c r="BI240" t="s">
        <v>1180</v>
      </c>
      <c r="BJ240" t="s">
        <v>1138</v>
      </c>
      <c r="BK240" t="s">
        <v>1139</v>
      </c>
      <c r="BL240" t="s">
        <v>1116</v>
      </c>
      <c r="BM240" t="s">
        <v>1156</v>
      </c>
      <c r="BN240" s="13"/>
      <c r="BO240" t="s">
        <v>973</v>
      </c>
      <c r="BP240" t="s">
        <v>973</v>
      </c>
      <c r="BQ240" t="s">
        <v>973</v>
      </c>
      <c r="BR240" t="s">
        <v>973</v>
      </c>
    </row>
    <row r="241" spans="1:70" x14ac:dyDescent="0.25">
      <c r="A241" t="s">
        <v>799</v>
      </c>
      <c r="B241" t="s">
        <v>800</v>
      </c>
      <c r="C241" t="s">
        <v>14</v>
      </c>
      <c r="D241" s="6"/>
      <c r="E241" s="9" t="str">
        <f>HYPERLINK("http://plants.ensembl.org/Triticum_aestivum/Gene/Summary?g=TRIAE_CS42_U_TGACv1_640874_AA2078050","TRIAE_CS42_U_TGACv1_640874_AA2078050")</f>
        <v>TRIAE_CS42_U_TGACv1_640874_AA2078050</v>
      </c>
      <c r="H241" s="8" t="str">
        <f>HYPERLINK("http://plants.ensembl.org/Brachypodium_distachyon/Gene/Summary?g=Bradi3g55730","Bradi3g55730")</f>
        <v>Bradi3g55730</v>
      </c>
      <c r="I241" s="1" t="s">
        <v>1051</v>
      </c>
      <c r="J241" s="9" t="str">
        <f>HYPERLINK("http://plants.ensembl.org/Oryza_sativa/Gene/Summary?db=otherfeatures;g=LOC_Os02g57530","LOC_Os02g57530")</f>
        <v>LOC_Os02g57530</v>
      </c>
      <c r="L241" s="6"/>
      <c r="M241" s="1" t="s">
        <v>973</v>
      </c>
      <c r="N241" s="1" t="s">
        <v>973</v>
      </c>
      <c r="O241" s="1">
        <v>1</v>
      </c>
      <c r="P241" s="1" t="s">
        <v>973</v>
      </c>
      <c r="Q241" s="1" t="s">
        <v>973</v>
      </c>
      <c r="R241" s="1" t="s">
        <v>973</v>
      </c>
      <c r="S241" s="1"/>
      <c r="T241" s="6"/>
      <c r="U241" s="11">
        <v>6.5192698325333485</v>
      </c>
      <c r="V241" s="11">
        <v>5.8863314666959416</v>
      </c>
      <c r="W241" s="11">
        <v>4.8266925377536847</v>
      </c>
      <c r="X241" s="11">
        <v>4.4825944771802551</v>
      </c>
      <c r="Y241" s="11">
        <v>4.8476428685014357</v>
      </c>
      <c r="Z241" s="11">
        <v>4.588604711772474</v>
      </c>
      <c r="AA241" s="11">
        <v>7.4998137382719792</v>
      </c>
      <c r="AB241" s="11">
        <v>6.437203320861844</v>
      </c>
      <c r="AC241" s="11">
        <v>6.2387900434974473</v>
      </c>
      <c r="AD241" s="11">
        <v>6.5510560660463071</v>
      </c>
      <c r="AE241" s="11">
        <v>4.3634070672098737</v>
      </c>
      <c r="AF241" s="11">
        <v>3.9906433014136038</v>
      </c>
      <c r="AG241" s="11">
        <v>4.0028705100214763</v>
      </c>
      <c r="AH241" s="11">
        <v>3.7958361999144534</v>
      </c>
      <c r="AI241" s="11">
        <v>6.424406507992078</v>
      </c>
      <c r="AJ241" s="11">
        <v>5.4589298669839286</v>
      </c>
      <c r="AK241" s="6"/>
      <c r="AL241" t="s">
        <v>1086</v>
      </c>
      <c r="AM241">
        <v>0</v>
      </c>
      <c r="AN241" s="6"/>
      <c r="AO241" s="20">
        <v>0.33560000000000001</v>
      </c>
      <c r="AP241" s="20">
        <v>-0.52549999999999997</v>
      </c>
      <c r="AQ241" s="20">
        <v>0.4738</v>
      </c>
      <c r="AR241" s="20">
        <v>0.50439999999999996</v>
      </c>
      <c r="AS241" s="20">
        <v>0.85109999999999997</v>
      </c>
      <c r="AT241" s="20">
        <v>0.82550000000000001</v>
      </c>
      <c r="AU241" s="20">
        <v>1.0762</v>
      </c>
      <c r="AV241" s="20">
        <v>0.98509999999999998</v>
      </c>
      <c r="AW241" s="6"/>
      <c r="AX241" s="18">
        <v>0.43619999999999998</v>
      </c>
      <c r="AY241" s="18">
        <v>0.27050000000000002</v>
      </c>
      <c r="AZ241" s="18">
        <v>0.29659999999999997</v>
      </c>
      <c r="BA241" s="18">
        <v>0.2883</v>
      </c>
      <c r="BB241" s="18">
        <v>6.0819999999999999E-2</v>
      </c>
      <c r="BC241" s="18">
        <v>8.3510000000000001E-2</v>
      </c>
      <c r="BD241" s="18">
        <v>8.9370000000000005E-3</v>
      </c>
      <c r="BE241" s="18">
        <v>2.035E-2</v>
      </c>
      <c r="BF241" s="13"/>
      <c r="BG241" t="s">
        <v>1250</v>
      </c>
      <c r="BH241" t="s">
        <v>1112</v>
      </c>
      <c r="BI241" t="s">
        <v>1113</v>
      </c>
      <c r="BJ241" t="s">
        <v>1114</v>
      </c>
      <c r="BK241" t="s">
        <v>1115</v>
      </c>
      <c r="BL241" t="s">
        <v>1218</v>
      </c>
      <c r="BM241" t="s">
        <v>1117</v>
      </c>
      <c r="BN241" s="13"/>
      <c r="BO241" t="s">
        <v>973</v>
      </c>
      <c r="BP241" t="s">
        <v>973</v>
      </c>
      <c r="BQ241" t="s">
        <v>973</v>
      </c>
      <c r="BR241" t="s">
        <v>973</v>
      </c>
    </row>
    <row r="242" spans="1:70" ht="27" customHeight="1" x14ac:dyDescent="0.25">
      <c r="A242" t="s">
        <v>822</v>
      </c>
      <c r="B242" t="s">
        <v>800</v>
      </c>
      <c r="C242" t="s">
        <v>14</v>
      </c>
      <c r="D242" s="6"/>
      <c r="E242" s="9" t="str">
        <f>HYPERLINK("http://plants.ensembl.org/Triticum_aestivum/Gene/Summary?g=TRIAE_CS42_6BL_TGACv1_501798_AA1620790","TRIAE_CS42_6BL_TGACv1_501798_AA1620790")</f>
        <v>TRIAE_CS42_6BL_TGACv1_501798_AA1620790</v>
      </c>
      <c r="H242" s="8" t="str">
        <f>HYPERLINK("http://plants.ensembl.org/Brachypodium_distachyon/Gene/Summary?g=Bradi3g55730","Bradi3g55730")</f>
        <v>Bradi3g55730</v>
      </c>
      <c r="I242" s="1" t="s">
        <v>1051</v>
      </c>
      <c r="J242" s="9" t="str">
        <f>HYPERLINK("http://plants.ensembl.org/Oryza_sativa/Gene/Summary?db=otherfeatures;g=LOC_Os02g57530","LOC_Os02g57530")</f>
        <v>LOC_Os02g57530</v>
      </c>
      <c r="L242" s="6"/>
      <c r="M242" s="1" t="s">
        <v>973</v>
      </c>
      <c r="N242" s="1" t="s">
        <v>973</v>
      </c>
      <c r="O242" s="1">
        <v>1</v>
      </c>
      <c r="P242" s="1" t="s">
        <v>973</v>
      </c>
      <c r="Q242" s="1" t="s">
        <v>973</v>
      </c>
      <c r="R242" s="1" t="s">
        <v>973</v>
      </c>
      <c r="S242" s="1"/>
      <c r="T242" s="6"/>
      <c r="U242" s="11">
        <v>6.6927940187124708</v>
      </c>
      <c r="V242" s="11">
        <v>6.8976494539315905</v>
      </c>
      <c r="W242" s="11">
        <v>7.2793589289489082</v>
      </c>
      <c r="X242" s="11">
        <v>6.9345125701030659</v>
      </c>
      <c r="Y242" s="11">
        <v>7.1443367018181654</v>
      </c>
      <c r="Z242" s="11">
        <v>6.8304399936767997</v>
      </c>
      <c r="AA242" s="11">
        <v>7.2586558511281298</v>
      </c>
      <c r="AB242" s="11">
        <v>6.2980760129477176</v>
      </c>
      <c r="AC242" s="11">
        <v>5.4932577041807598</v>
      </c>
      <c r="AD242" s="11">
        <v>6.1092282087711327</v>
      </c>
      <c r="AE242" s="11">
        <v>6.5730295868897448</v>
      </c>
      <c r="AF242" s="11">
        <v>6.3541629719540182</v>
      </c>
      <c r="AG242" s="11">
        <v>6.6856963157428329</v>
      </c>
      <c r="AH242" s="11">
        <v>6.065901125414106</v>
      </c>
      <c r="AI242" s="11">
        <v>6.059515356656445</v>
      </c>
      <c r="AJ242" s="11">
        <v>5.4123908836575625</v>
      </c>
      <c r="AK242" s="6"/>
      <c r="AL242" t="s">
        <v>1077</v>
      </c>
      <c r="AM242">
        <v>0</v>
      </c>
      <c r="AN242" s="6"/>
      <c r="AO242" s="20">
        <v>1.2885</v>
      </c>
      <c r="AP242" s="20">
        <v>0.94650000000000001</v>
      </c>
      <c r="AQ242" s="20">
        <v>0.70950000000000002</v>
      </c>
      <c r="AR242" s="20">
        <v>0.57750000000000001</v>
      </c>
      <c r="AS242" s="20">
        <v>0.45779999999999998</v>
      </c>
      <c r="AT242" s="20">
        <v>0.77239999999999998</v>
      </c>
      <c r="AU242" s="20">
        <v>1.2035</v>
      </c>
      <c r="AV242" s="20">
        <v>0.89319999999999999</v>
      </c>
      <c r="AW242" s="6"/>
      <c r="AX242" s="18">
        <v>9.5270000000000001E-4</v>
      </c>
      <c r="AY242" s="18">
        <v>2.3779999999999999E-2</v>
      </c>
      <c r="AZ242" s="18">
        <v>5.0840000000000003E-2</v>
      </c>
      <c r="BA242" s="18">
        <v>0.1163</v>
      </c>
      <c r="BB242" s="18">
        <v>0.20580000000000001</v>
      </c>
      <c r="BC242" s="18">
        <v>3.6799999999999999E-2</v>
      </c>
      <c r="BD242" s="18">
        <v>1.0009999999999999E-3</v>
      </c>
      <c r="BE242" s="18">
        <v>1.8429999999999998E-2</v>
      </c>
      <c r="BF242" s="13"/>
      <c r="BG242" t="s">
        <v>1236</v>
      </c>
      <c r="BH242" t="s">
        <v>1112</v>
      </c>
      <c r="BI242" t="s">
        <v>1172</v>
      </c>
      <c r="BJ242" t="s">
        <v>1114</v>
      </c>
      <c r="BK242" t="s">
        <v>1115</v>
      </c>
      <c r="BL242" t="s">
        <v>1116</v>
      </c>
      <c r="BM242" t="s">
        <v>1117</v>
      </c>
      <c r="BN242" s="13"/>
      <c r="BO242" t="s">
        <v>973</v>
      </c>
      <c r="BP242" t="s">
        <v>973</v>
      </c>
      <c r="BQ242" t="s">
        <v>973</v>
      </c>
      <c r="BR242" t="s">
        <v>973</v>
      </c>
    </row>
    <row r="243" spans="1:70" x14ac:dyDescent="0.25">
      <c r="A243" t="s">
        <v>840</v>
      </c>
      <c r="B243" t="s">
        <v>800</v>
      </c>
      <c r="C243" t="s">
        <v>14</v>
      </c>
      <c r="D243" s="6"/>
      <c r="E243" s="9" t="str">
        <f>HYPERLINK("http://plants.ensembl.org/Triticum_aestivum/Gene/Summary?g=TRIAE_CS42_6DL_TGACv1_526749_AA1691380","TRIAE_CS42_6DL_TGACv1_526749_AA1691380")</f>
        <v>TRIAE_CS42_6DL_TGACv1_526749_AA1691380</v>
      </c>
      <c r="F243" s="9" t="str">
        <f>HYPERLINK("http://mar2016-plants.ensembl.org/Triticum_aestivum/Gene/Summary?db=core;g=Traes_6DL_326008AE8","Traes_6DL_326008AE8")</f>
        <v>Traes_6DL_326008AE8</v>
      </c>
      <c r="H243" s="8" t="str">
        <f>HYPERLINK("http://plants.ensembl.org/Brachypodium_distachyon/Gene/Summary?g=Bradi3g55730","Bradi3g55730")</f>
        <v>Bradi3g55730</v>
      </c>
      <c r="I243" s="8" t="str">
        <f>HYPERLINK("http://plants.ensembl.org/Arabidopsis_thaliana/Gene/Summary?g=AT3G23150","AT3G23150")</f>
        <v>AT3G23150</v>
      </c>
      <c r="J243" s="9" t="str">
        <f>HYPERLINK("http://plants.ensembl.org/Oryza_sativa/Gene/Summary?db=otherfeatures;g=LOC_Os02g57530","LOC_Os02g57530")</f>
        <v>LOC_Os02g57530</v>
      </c>
      <c r="L243" s="6"/>
      <c r="M243" s="1" t="s">
        <v>973</v>
      </c>
      <c r="N243" s="1" t="s">
        <v>973</v>
      </c>
      <c r="O243" s="1">
        <v>1</v>
      </c>
      <c r="P243" s="1" t="s">
        <v>973</v>
      </c>
      <c r="Q243" s="1" t="s">
        <v>973</v>
      </c>
      <c r="R243" s="1" t="s">
        <v>973</v>
      </c>
      <c r="S243" s="1"/>
      <c r="T243" s="6"/>
      <c r="U243" s="11">
        <v>8.1423443377163665</v>
      </c>
      <c r="V243" s="11">
        <v>8.5167775151685152</v>
      </c>
      <c r="W243" s="11">
        <v>8.2913188375755436</v>
      </c>
      <c r="X243" s="11">
        <v>8.086784296794276</v>
      </c>
      <c r="Y243" s="11">
        <v>8.286706528253962</v>
      </c>
      <c r="Z243" s="11">
        <v>8.0696781816542753</v>
      </c>
      <c r="AA243" s="11">
        <v>8.2909275046892112</v>
      </c>
      <c r="AB243" s="11">
        <v>8.0290287612220528</v>
      </c>
      <c r="AC243" s="11">
        <v>6.8318894831095909</v>
      </c>
      <c r="AD243" s="11">
        <v>6.8250787745489543</v>
      </c>
      <c r="AE243" s="11">
        <v>7.4815414049484161</v>
      </c>
      <c r="AF243" s="11">
        <v>7.375453929347807</v>
      </c>
      <c r="AG243" s="11">
        <v>7.2013107214065126</v>
      </c>
      <c r="AH243" s="11">
        <v>6.892930923527123</v>
      </c>
      <c r="AI243" s="11">
        <v>7.1613724381011483</v>
      </c>
      <c r="AJ243" s="11">
        <v>6.7914780976394287</v>
      </c>
      <c r="AK243" s="6"/>
      <c r="AL243" t="s">
        <v>1077</v>
      </c>
      <c r="AM243">
        <v>764</v>
      </c>
      <c r="AN243" s="6"/>
      <c r="AO243" s="20">
        <v>1.3480000000000001</v>
      </c>
      <c r="AP243" s="20">
        <v>1.6973</v>
      </c>
      <c r="AQ243" s="20">
        <v>0.80959999999999999</v>
      </c>
      <c r="AR243" s="20">
        <v>0.70840000000000003</v>
      </c>
      <c r="AS243" s="20">
        <v>1.0815999999999999</v>
      </c>
      <c r="AT243" s="20">
        <v>1.1780999999999999</v>
      </c>
      <c r="AU243" s="20">
        <v>1.1297999999999999</v>
      </c>
      <c r="AV243" s="20">
        <v>1.2384999999999999</v>
      </c>
      <c r="AW243" s="6"/>
      <c r="AX243" s="18">
        <v>2.0820000000000001E-5</v>
      </c>
      <c r="AY243" s="18">
        <v>4.2199999999999999E-7</v>
      </c>
      <c r="AZ243" s="18">
        <v>8.1949999999999992E-3</v>
      </c>
      <c r="BA243" s="18">
        <v>2.1479999999999999E-2</v>
      </c>
      <c r="BB243" s="18">
        <v>4.0640000000000001E-4</v>
      </c>
      <c r="BC243" s="18">
        <v>1.4630000000000001E-4</v>
      </c>
      <c r="BD243" s="18">
        <v>2.319E-4</v>
      </c>
      <c r="BE243" s="18">
        <v>6.5770000000000002E-5</v>
      </c>
      <c r="BF243" s="13"/>
      <c r="BG243" t="s">
        <v>1374</v>
      </c>
      <c r="BH243" t="s">
        <v>1112</v>
      </c>
      <c r="BI243" t="s">
        <v>1113</v>
      </c>
      <c r="BJ243" t="s">
        <v>1114</v>
      </c>
      <c r="BK243" t="s">
        <v>1115</v>
      </c>
      <c r="BL243" t="s">
        <v>1116</v>
      </c>
      <c r="BM243" t="s">
        <v>1117</v>
      </c>
      <c r="BN243" s="13"/>
      <c r="BO243" t="s">
        <v>973</v>
      </c>
      <c r="BP243" t="s">
        <v>973</v>
      </c>
      <c r="BQ243" t="s">
        <v>973</v>
      </c>
      <c r="BR243" t="s">
        <v>973</v>
      </c>
    </row>
    <row r="244" spans="1:70" x14ac:dyDescent="0.25">
      <c r="A244" t="s">
        <v>568</v>
      </c>
      <c r="B244" t="s">
        <v>569</v>
      </c>
      <c r="C244" t="s">
        <v>570</v>
      </c>
      <c r="D244" s="6"/>
      <c r="E244" s="9" t="str">
        <f>HYPERLINK("http://plants.ensembl.org/Triticum_aestivum/Gene/Summary?g=TRIAE_CS42_U_TGACv1_643016_AA2126240","TRIAE_CS42_U_TGACv1_643016_AA2126240")</f>
        <v>TRIAE_CS42_U_TGACv1_643016_AA2126240</v>
      </c>
      <c r="F244" s="9" t="str">
        <f>HYPERLINK("http://mar2016-plants.ensembl.org/Triticum_aestivum/Gene/Summary?db=core;g=Traes_4DS_8B71AA2E2","Traes_4DS_8B71AA2E2")</f>
        <v>Traes_4DS_8B71AA2E2</v>
      </c>
      <c r="H244" s="8" t="str">
        <f>HYPERLINK("http://plants.ensembl.org/Brachypodium_distachyon/Gene/Summary?g=Bradi1g09950","Bradi1g09950")</f>
        <v>Bradi1g09950</v>
      </c>
      <c r="I244" s="8" t="str">
        <f>HYPERLINK("http://plants.ensembl.org/Arabidopsis_thaliana/Gene/Summary?g=AT1G17870","AT1G17870")</f>
        <v>AT1G17870</v>
      </c>
      <c r="J244" s="9" t="str">
        <f>HYPERLINK("http://plants.ensembl.org/Oryza_sativa/Gene/Summary?db=otherfeatures;g=LOC_Os03g51920","LOC_Os03g51920")</f>
        <v>LOC_Os03g51920</v>
      </c>
      <c r="L244" s="6"/>
      <c r="M244" s="1" t="s">
        <v>973</v>
      </c>
      <c r="N244" s="1" t="s">
        <v>973</v>
      </c>
      <c r="O244" s="1">
        <v>1</v>
      </c>
      <c r="P244" s="1" t="s">
        <v>973</v>
      </c>
      <c r="Q244" s="1" t="s">
        <v>973</v>
      </c>
      <c r="R244" s="1" t="s">
        <v>973</v>
      </c>
      <c r="S244" s="1"/>
      <c r="T244" s="6"/>
      <c r="U244" s="11">
        <v>6.050830336764542</v>
      </c>
      <c r="V244" s="11">
        <v>6.8358179898364524</v>
      </c>
      <c r="W244" s="11">
        <v>4.766778887826133</v>
      </c>
      <c r="X244" s="11">
        <v>6.2476136298531326</v>
      </c>
      <c r="Y244" s="11">
        <v>4.092968509324141</v>
      </c>
      <c r="Z244" s="11">
        <v>5.4136448520339018</v>
      </c>
      <c r="AA244" s="11">
        <v>4.8376203649152734</v>
      </c>
      <c r="AB244" s="11">
        <v>5.0001547808522293</v>
      </c>
      <c r="AC244" s="11">
        <v>3.948276889957357</v>
      </c>
      <c r="AD244" s="11">
        <v>5.4404860587265205</v>
      </c>
      <c r="AE244" s="11">
        <v>3.343644698587795</v>
      </c>
      <c r="AF244" s="11">
        <v>3.624280294048984</v>
      </c>
      <c r="AG244" s="11">
        <v>3.1000637635714146</v>
      </c>
      <c r="AH244" s="11">
        <v>4.0257168939741392</v>
      </c>
      <c r="AI244" s="11">
        <v>4.0732404115395919</v>
      </c>
      <c r="AJ244" s="11">
        <v>5.1863869842543773</v>
      </c>
      <c r="AK244" s="6"/>
      <c r="AL244" t="s">
        <v>1104</v>
      </c>
      <c r="AM244">
        <v>0</v>
      </c>
      <c r="AN244" s="6"/>
      <c r="AO244" s="20">
        <v>2.1701999999999999</v>
      </c>
      <c r="AP244" s="20">
        <v>1.5717000000000001</v>
      </c>
      <c r="AQ244" s="20">
        <v>1.4755</v>
      </c>
      <c r="AR244" s="20">
        <v>2.6162999999999998</v>
      </c>
      <c r="AS244" s="20">
        <v>1.0501</v>
      </c>
      <c r="AT244" s="20">
        <v>1.4191</v>
      </c>
      <c r="AU244" s="20">
        <v>0.77859999999999996</v>
      </c>
      <c r="AV244" s="20">
        <v>-0.19009999999999999</v>
      </c>
      <c r="AW244" s="6"/>
      <c r="AX244" s="18">
        <v>1.077E-3</v>
      </c>
      <c r="AY244" s="18">
        <v>1.8859999999999998E-2</v>
      </c>
      <c r="AZ244" s="18">
        <v>2.7609999999999999E-2</v>
      </c>
      <c r="BA244" s="18">
        <v>6.758E-5</v>
      </c>
      <c r="BB244" s="18">
        <v>0.12</v>
      </c>
      <c r="BC244" s="18">
        <v>2.9579999999999999E-2</v>
      </c>
      <c r="BD244" s="18">
        <v>0.23080000000000001</v>
      </c>
      <c r="BE244" s="18">
        <v>0.76639999999999997</v>
      </c>
      <c r="BF244" s="13"/>
      <c r="BG244" t="s">
        <v>1111</v>
      </c>
      <c r="BH244" t="s">
        <v>1155</v>
      </c>
      <c r="BI244" t="s">
        <v>1113</v>
      </c>
      <c r="BJ244" t="s">
        <v>1114</v>
      </c>
      <c r="BK244" t="s">
        <v>1115</v>
      </c>
      <c r="BL244" t="s">
        <v>1116</v>
      </c>
      <c r="BM244" t="s">
        <v>1117</v>
      </c>
      <c r="BN244" s="13"/>
      <c r="BO244" t="s">
        <v>973</v>
      </c>
      <c r="BP244" t="s">
        <v>973</v>
      </c>
      <c r="BQ244" t="s">
        <v>973</v>
      </c>
      <c r="BR244" t="s">
        <v>973</v>
      </c>
    </row>
    <row r="245" spans="1:70" x14ac:dyDescent="0.25">
      <c r="A245" t="s">
        <v>290</v>
      </c>
      <c r="B245" t="s">
        <v>291</v>
      </c>
      <c r="C245" t="s">
        <v>292</v>
      </c>
      <c r="D245" s="6"/>
      <c r="E245" s="9" t="str">
        <f>HYPERLINK("http://plants.ensembl.org/Triticum_aestivum/Gene/Summary?g=TRIAE_CS42_3AS_TGACv1_212138_AA0698080","TRIAE_CS42_3AS_TGACv1_212138_AA0698080")</f>
        <v>TRIAE_CS42_3AS_TGACv1_212138_AA0698080</v>
      </c>
      <c r="F245" s="9" t="str">
        <f>HYPERLINK("http://mar2016-plants.ensembl.org/Triticum_aestivum/Gene/Summary?db=core;g=Traes_3AS_4C0261CD5","Traes_3AS_4C0261CD5")</f>
        <v>Traes_3AS_4C0261CD5</v>
      </c>
      <c r="H245" s="8" t="str">
        <f>HYPERLINK("http://plants.ensembl.org/Brachypodium_distachyon/Gene/Summary?g=Bradi2g02770","Bradi2g02770")</f>
        <v>Bradi2g02770</v>
      </c>
      <c r="I245" s="8" t="str">
        <f>HYPERLINK("http://plants.ensembl.org/Arabidopsis_thaliana/Gene/Summary?g=AT5G05740","AT5G05740")</f>
        <v>AT5G05740</v>
      </c>
      <c r="J245" s="9" t="str">
        <f>HYPERLINK("http://plants.ensembl.org/Oryza_sativa/Gene/Summary?db=otherfeatures;g=LOC_Os01g04900","LOC_Os01g04900")</f>
        <v>LOC_Os01g04900</v>
      </c>
      <c r="L245" s="6"/>
      <c r="M245" s="1" t="s">
        <v>973</v>
      </c>
      <c r="N245" s="1" t="s">
        <v>973</v>
      </c>
      <c r="O245" s="1">
        <v>1</v>
      </c>
      <c r="P245" s="1" t="s">
        <v>973</v>
      </c>
      <c r="Q245" s="1" t="s">
        <v>973</v>
      </c>
      <c r="R245" s="1" t="s">
        <v>973</v>
      </c>
      <c r="S245" s="1"/>
      <c r="T245" s="6"/>
      <c r="U245" s="11">
        <v>5.3717876777370526</v>
      </c>
      <c r="V245" s="11">
        <v>3.4711267505717038</v>
      </c>
      <c r="W245" s="11">
        <v>6.0378009703826709</v>
      </c>
      <c r="X245" s="11">
        <v>5.0904370998087183</v>
      </c>
      <c r="Y245" s="11">
        <v>5.8564329988717736</v>
      </c>
      <c r="Z245" s="11">
        <v>5.2673260452247277</v>
      </c>
      <c r="AA245" s="11">
        <v>6.2090523446555581</v>
      </c>
      <c r="AB245" s="11">
        <v>5.807341182039405</v>
      </c>
      <c r="AC245" s="11">
        <v>7.2027752164487584</v>
      </c>
      <c r="AD245" s="11">
        <v>7.0006700964253135</v>
      </c>
      <c r="AE245" s="11">
        <v>6.6757514901071779</v>
      </c>
      <c r="AF245" s="11">
        <v>6.4642794448888141</v>
      </c>
      <c r="AG245" s="11">
        <v>7.3125487073390092</v>
      </c>
      <c r="AH245" s="11">
        <v>6.8324411058737766</v>
      </c>
      <c r="AI245" s="11">
        <v>7.1818019239397968</v>
      </c>
      <c r="AJ245" s="11">
        <v>6.6736798467737648</v>
      </c>
      <c r="AK245" s="6"/>
      <c r="AL245" t="s">
        <v>1079</v>
      </c>
      <c r="AM245">
        <v>2</v>
      </c>
      <c r="AN245" s="6"/>
      <c r="AO245" s="20">
        <v>-1.9325000000000001</v>
      </c>
      <c r="AP245" s="20">
        <v>-3.67</v>
      </c>
      <c r="AQ245" s="20">
        <v>-0.64290000000000003</v>
      </c>
      <c r="AR245" s="20">
        <v>-1.4053</v>
      </c>
      <c r="AS245" s="20">
        <v>-1.4684999999999999</v>
      </c>
      <c r="AT245" s="20">
        <v>-1.5613999999999999</v>
      </c>
      <c r="AU245" s="20">
        <v>-0.99080000000000001</v>
      </c>
      <c r="AV245" s="20">
        <v>-0.87450000000000006</v>
      </c>
      <c r="AW245" s="6"/>
      <c r="AX245" s="18">
        <v>8.5E-9</v>
      </c>
      <c r="AY245" s="18">
        <v>2.3360000000000001E-11</v>
      </c>
      <c r="AZ245" s="18">
        <v>2.886E-2</v>
      </c>
      <c r="BA245" s="18">
        <v>7.0480000000000001E-6</v>
      </c>
      <c r="BB245" s="18">
        <v>5.8830000000000005E-7</v>
      </c>
      <c r="BC245" s="18">
        <v>2.791E-7</v>
      </c>
      <c r="BD245" s="18">
        <v>5.844E-4</v>
      </c>
      <c r="BE245" s="18">
        <v>3.5959999999999998E-3</v>
      </c>
      <c r="BF245" s="13"/>
      <c r="BG245" t="s">
        <v>1314</v>
      </c>
      <c r="BH245" t="s">
        <v>1112</v>
      </c>
      <c r="BI245" t="s">
        <v>1113</v>
      </c>
      <c r="BJ245" t="s">
        <v>1114</v>
      </c>
      <c r="BK245" t="s">
        <v>1115</v>
      </c>
      <c r="BL245" t="s">
        <v>1116</v>
      </c>
      <c r="BM245" t="s">
        <v>1117</v>
      </c>
      <c r="BN245" s="13"/>
      <c r="BO245" t="s">
        <v>973</v>
      </c>
      <c r="BP245" t="s">
        <v>973</v>
      </c>
      <c r="BQ245" t="s">
        <v>973</v>
      </c>
      <c r="BR245" t="s">
        <v>973</v>
      </c>
    </row>
    <row r="246" spans="1:70" x14ac:dyDescent="0.25">
      <c r="A246" t="s">
        <v>365</v>
      </c>
      <c r="B246" t="s">
        <v>291</v>
      </c>
      <c r="C246" t="s">
        <v>292</v>
      </c>
      <c r="D246" s="6"/>
      <c r="E246" s="9" t="str">
        <f>HYPERLINK("http://plants.ensembl.org/Triticum_aestivum/Gene/Summary?g=TRIAE_CS42_3B_TGACv1_220849_AA0721250","TRIAE_CS42_3B_TGACv1_220849_AA0721250")</f>
        <v>TRIAE_CS42_3B_TGACv1_220849_AA0721250</v>
      </c>
      <c r="F246" s="9" t="str">
        <f>HYPERLINK("http://mar2016-plants.ensembl.org/Triticum_aestivum/Gene/Summary?db=core;g=TRAES3BF024700310CFD","TRAES3BF024700310CFD")</f>
        <v>TRAES3BF024700310CFD</v>
      </c>
      <c r="H246" s="8" t="str">
        <f>HYPERLINK("http://plants.ensembl.org/Brachypodium_distachyon/Gene/Summary?g=Bradi2g02770","Bradi2g02770")</f>
        <v>Bradi2g02770</v>
      </c>
      <c r="I246" s="8" t="str">
        <f>HYPERLINK("http://plants.ensembl.org/Arabidopsis_thaliana/Gene/Summary?g=AT5G05740","AT5G05740")</f>
        <v>AT5G05740</v>
      </c>
      <c r="J246" s="9" t="str">
        <f>HYPERLINK("http://plants.ensembl.org/Oryza_sativa/Gene/Summary?db=otherfeatures;g=LOC_Os01g04900","LOC_Os01g04900")</f>
        <v>LOC_Os01g04900</v>
      </c>
      <c r="L246" s="6"/>
      <c r="M246" s="1" t="s">
        <v>973</v>
      </c>
      <c r="N246" s="1" t="s">
        <v>973</v>
      </c>
      <c r="O246" s="1">
        <v>1</v>
      </c>
      <c r="P246" s="1" t="s">
        <v>973</v>
      </c>
      <c r="Q246" s="1" t="s">
        <v>973</v>
      </c>
      <c r="R246" s="1" t="s">
        <v>973</v>
      </c>
      <c r="S246" s="1"/>
      <c r="T246" s="6"/>
      <c r="U246" s="11">
        <v>5.3607446839394486</v>
      </c>
      <c r="V246" s="11">
        <v>3.7189314671809721</v>
      </c>
      <c r="W246" s="11">
        <v>3.9263663732541905</v>
      </c>
      <c r="X246" s="11">
        <v>3.2687088528259305</v>
      </c>
      <c r="Y246" s="11">
        <v>3.9878483628768726</v>
      </c>
      <c r="Z246" s="11">
        <v>3.892756915627714</v>
      </c>
      <c r="AA246" s="11">
        <v>5.9115949196641022</v>
      </c>
      <c r="AB246" s="11">
        <v>5.6596705806314498</v>
      </c>
      <c r="AC246" s="11">
        <v>6.5553959212010557</v>
      </c>
      <c r="AD246" s="11">
        <v>6.7160200857228114</v>
      </c>
      <c r="AE246" s="11">
        <v>4.2830920581750469</v>
      </c>
      <c r="AF246" s="11">
        <v>4.5254842681880412</v>
      </c>
      <c r="AG246" s="11">
        <v>4.7748485430111938</v>
      </c>
      <c r="AH246" s="11">
        <v>4.7244174428541434</v>
      </c>
      <c r="AI246" s="11">
        <v>6.2568100203529289</v>
      </c>
      <c r="AJ246" s="11">
        <v>6.0121052800507062</v>
      </c>
      <c r="AK246" s="6"/>
      <c r="AL246" t="s">
        <v>1086</v>
      </c>
      <c r="AM246">
        <v>0</v>
      </c>
      <c r="AN246" s="6"/>
      <c r="AO246" s="20">
        <v>-1.341</v>
      </c>
      <c r="AP246" s="20">
        <v>-2.6091000000000002</v>
      </c>
      <c r="AQ246" s="20">
        <v>-0.37080000000000002</v>
      </c>
      <c r="AR246" s="20">
        <v>-1.3291999999999999</v>
      </c>
      <c r="AS246" s="20">
        <v>-0.82099999999999995</v>
      </c>
      <c r="AT246" s="20">
        <v>-0.8831</v>
      </c>
      <c r="AU246" s="20">
        <v>-0.35870000000000002</v>
      </c>
      <c r="AV246" s="20">
        <v>-0.35709999999999997</v>
      </c>
      <c r="AW246" s="6"/>
      <c r="AX246" s="18">
        <v>5.6060000000000002E-5</v>
      </c>
      <c r="AY246" s="18">
        <v>3.9680000000000002E-8</v>
      </c>
      <c r="AZ246" s="18">
        <v>0.30830000000000002</v>
      </c>
      <c r="BA246" s="18">
        <v>8.7730000000000002E-4</v>
      </c>
      <c r="BB246" s="18">
        <v>1.8689999999999998E-2</v>
      </c>
      <c r="BC246" s="18">
        <v>1.346E-2</v>
      </c>
      <c r="BD246" s="18">
        <v>0.21099999999999999</v>
      </c>
      <c r="BE246" s="18">
        <v>0.2316</v>
      </c>
      <c r="BF246" s="13"/>
      <c r="BG246" t="s">
        <v>1128</v>
      </c>
      <c r="BH246" t="s">
        <v>1112</v>
      </c>
      <c r="BI246" t="s">
        <v>1282</v>
      </c>
      <c r="BJ246" t="s">
        <v>1114</v>
      </c>
      <c r="BK246" t="s">
        <v>1115</v>
      </c>
      <c r="BL246" t="s">
        <v>1116</v>
      </c>
      <c r="BM246" t="s">
        <v>1117</v>
      </c>
      <c r="BN246" s="13"/>
      <c r="BO246" t="s">
        <v>973</v>
      </c>
      <c r="BP246" t="s">
        <v>973</v>
      </c>
      <c r="BQ246" t="s">
        <v>973</v>
      </c>
      <c r="BR246" t="s">
        <v>973</v>
      </c>
    </row>
    <row r="247" spans="1:70" x14ac:dyDescent="0.25">
      <c r="A247" t="s">
        <v>407</v>
      </c>
      <c r="B247" t="s">
        <v>291</v>
      </c>
      <c r="C247" t="s">
        <v>292</v>
      </c>
      <c r="D247" s="6"/>
      <c r="E247" s="9" t="str">
        <f>HYPERLINK("http://plants.ensembl.org/Triticum_aestivum/Gene/Summary?g=TRIAE_CS42_3DS_TGACv1_271844_AA0909330","TRIAE_CS42_3DS_TGACv1_271844_AA0909330")</f>
        <v>TRIAE_CS42_3DS_TGACv1_271844_AA0909330</v>
      </c>
      <c r="F247" s="9" t="str">
        <f>HYPERLINK("http://mar2016-plants.ensembl.org/Triticum_aestivum/Gene/Summary?db=core;g=Traes_3DS_55CCCBE0C","Traes_3DS_55CCCBE0C")</f>
        <v>Traes_3DS_55CCCBE0C</v>
      </c>
      <c r="H247" s="8" t="str">
        <f>HYPERLINK("http://plants.ensembl.org/Brachypodium_distachyon/Gene/Summary?g=Bradi2g02770","Bradi2g02770")</f>
        <v>Bradi2g02770</v>
      </c>
      <c r="I247" s="8" t="str">
        <f>HYPERLINK("http://plants.ensembl.org/Arabidopsis_thaliana/Gene/Summary?g=AT5G05740","AT5G05740")</f>
        <v>AT5G05740</v>
      </c>
      <c r="J247" s="9" t="str">
        <f>HYPERLINK("http://plants.ensembl.org/Oryza_sativa/Gene/Summary?db=otherfeatures;g=LOC_Os01g04900","LOC_Os01g04900")</f>
        <v>LOC_Os01g04900</v>
      </c>
      <c r="L247" s="6"/>
      <c r="M247" s="1" t="s">
        <v>973</v>
      </c>
      <c r="N247" s="1" t="s">
        <v>973</v>
      </c>
      <c r="O247" s="1">
        <v>1</v>
      </c>
      <c r="P247" s="1" t="s">
        <v>973</v>
      </c>
      <c r="Q247" s="1" t="s">
        <v>973</v>
      </c>
      <c r="R247" s="1" t="s">
        <v>973</v>
      </c>
      <c r="S247" s="1"/>
      <c r="T247" s="6"/>
      <c r="U247" s="11">
        <v>5.3844769784296922</v>
      </c>
      <c r="V247" s="11">
        <v>4.3497120376105176</v>
      </c>
      <c r="W247" s="11">
        <v>5.9647767394228124</v>
      </c>
      <c r="X247" s="11">
        <v>4.702639075594254</v>
      </c>
      <c r="Y247" s="11">
        <v>5.1756164132927287</v>
      </c>
      <c r="Z247" s="11">
        <v>4.9840044375449493</v>
      </c>
      <c r="AA247" s="11">
        <v>5.8340470808047904</v>
      </c>
      <c r="AB247" s="11">
        <v>5.2989380793961889</v>
      </c>
      <c r="AC247" s="11">
        <v>6.6527240563505456</v>
      </c>
      <c r="AD247" s="11">
        <v>6.3076064223242287</v>
      </c>
      <c r="AE247" s="11">
        <v>6.2672829672054142</v>
      </c>
      <c r="AF247" s="11">
        <v>5.8342502306903024</v>
      </c>
      <c r="AG247" s="11">
        <v>6.8355855871832976</v>
      </c>
      <c r="AH247" s="11">
        <v>6.0970313269730116</v>
      </c>
      <c r="AI247" s="11">
        <v>6.7098778519111022</v>
      </c>
      <c r="AJ247" s="11">
        <v>6.1654838893072084</v>
      </c>
      <c r="AK247" s="6"/>
      <c r="AL247" t="s">
        <v>1079</v>
      </c>
      <c r="AM247">
        <v>0</v>
      </c>
      <c r="AN247" s="6"/>
      <c r="AO247" s="20">
        <v>-1.5588</v>
      </c>
      <c r="AP247" s="20">
        <v>-2.1414</v>
      </c>
      <c r="AQ247" s="20">
        <v>-0.30669999999999997</v>
      </c>
      <c r="AR247" s="20">
        <v>-1.1603000000000001</v>
      </c>
      <c r="AS247" s="20">
        <v>-1.6852</v>
      </c>
      <c r="AT247" s="20">
        <v>-1.1025</v>
      </c>
      <c r="AU247" s="20">
        <v>-0.90169999999999995</v>
      </c>
      <c r="AV247" s="20">
        <v>-0.88060000000000005</v>
      </c>
      <c r="AW247" s="6"/>
      <c r="AX247" s="18">
        <v>5.6489999999999998E-7</v>
      </c>
      <c r="AY247" s="18">
        <v>9.809E-7</v>
      </c>
      <c r="AZ247" s="18">
        <v>0.23930000000000001</v>
      </c>
      <c r="BA247" s="18">
        <v>7.9909999999999999E-5</v>
      </c>
      <c r="BB247" s="18">
        <v>4.6830000000000003E-10</v>
      </c>
      <c r="BC247" s="18">
        <v>7.9699999999999999E-5</v>
      </c>
      <c r="BD247" s="18">
        <v>4.2430000000000001E-4</v>
      </c>
      <c r="BE247" s="18">
        <v>1.4760000000000001E-3</v>
      </c>
      <c r="BF247" s="13"/>
      <c r="BG247" t="s">
        <v>1243</v>
      </c>
      <c r="BH247" t="s">
        <v>1112</v>
      </c>
      <c r="BI247" t="s">
        <v>1113</v>
      </c>
      <c r="BJ247" t="s">
        <v>1114</v>
      </c>
      <c r="BK247" t="s">
        <v>1115</v>
      </c>
      <c r="BL247" t="s">
        <v>1116</v>
      </c>
      <c r="BM247" t="s">
        <v>1117</v>
      </c>
      <c r="BN247" s="13"/>
      <c r="BO247" t="s">
        <v>973</v>
      </c>
      <c r="BP247" t="s">
        <v>973</v>
      </c>
      <c r="BQ247" t="s">
        <v>973</v>
      </c>
      <c r="BR247" t="s">
        <v>973</v>
      </c>
    </row>
    <row r="248" spans="1:70" x14ac:dyDescent="0.25">
      <c r="A248" t="s">
        <v>564</v>
      </c>
      <c r="B248" t="s">
        <v>565</v>
      </c>
      <c r="C248" t="s">
        <v>566</v>
      </c>
      <c r="D248" s="6"/>
      <c r="E248" s="9" t="str">
        <f>HYPERLINK("http://plants.ensembl.org/Triticum_aestivum/Gene/Summary?g=TRIAE_CS42_4DS_TGACv1_362329_AA1178870","TRIAE_CS42_4DS_TGACv1_362329_AA1178870")</f>
        <v>TRIAE_CS42_4DS_TGACv1_362329_AA1178870</v>
      </c>
      <c r="F248" s="9" t="str">
        <f>HYPERLINK("http://mar2016-plants.ensembl.org/Triticum_aestivum/Gene/Summary?db=core;g=Traes_4DS_2706FACC1","Traes_4DS_2706FACC1")</f>
        <v>Traes_4DS_2706FACC1</v>
      </c>
      <c r="H248" s="8" t="str">
        <f>HYPERLINK("http://plants.ensembl.org/Brachypodium_distachyon/Gene/Summary?g=Bradi1g11650","Bradi1g11650")</f>
        <v>Bradi1g11650</v>
      </c>
      <c r="I248" s="1" t="s">
        <v>1051</v>
      </c>
      <c r="J248" s="9" t="str">
        <f>HYPERLINK("http://plants.ensembl.org/Oryza_sativa/Gene/Summary?db=otherfeatures;g=LOC_Os07g06130","LOC_Os07g06130")</f>
        <v>LOC_Os07g06130</v>
      </c>
      <c r="L248" s="6"/>
      <c r="M248" s="1" t="s">
        <v>973</v>
      </c>
      <c r="N248" s="1" t="s">
        <v>973</v>
      </c>
      <c r="O248" s="1">
        <v>1</v>
      </c>
      <c r="P248" s="1" t="s">
        <v>973</v>
      </c>
      <c r="Q248" s="1" t="s">
        <v>973</v>
      </c>
      <c r="R248" s="1" t="s">
        <v>973</v>
      </c>
      <c r="S248" s="1"/>
      <c r="T248" s="6"/>
      <c r="U248" s="11">
        <v>7.3365868932603444</v>
      </c>
      <c r="V248" s="11">
        <v>6.4028750640442285</v>
      </c>
      <c r="W248" s="11">
        <v>6.6867951057056914</v>
      </c>
      <c r="X248" s="11">
        <v>6.8669075661328716</v>
      </c>
      <c r="Y248" s="11">
        <v>6.8623381468097389</v>
      </c>
      <c r="Z248" s="11">
        <v>6.733387334202086</v>
      </c>
      <c r="AA248" s="11">
        <v>6.5948182334735383</v>
      </c>
      <c r="AB248" s="11">
        <v>7.3658689327845277</v>
      </c>
      <c r="AC248" s="11">
        <v>7.7001499940378135</v>
      </c>
      <c r="AD248" s="11">
        <v>7.8692576121670008</v>
      </c>
      <c r="AE248" s="11">
        <v>7.1281534942754092</v>
      </c>
      <c r="AF248" s="11">
        <v>6.6586980126953463</v>
      </c>
      <c r="AG248" s="11">
        <v>7.2675482823954809</v>
      </c>
      <c r="AH248" s="11">
        <v>7.1174810325732629</v>
      </c>
      <c r="AI248" s="11">
        <v>7.4457283584231915</v>
      </c>
      <c r="AJ248" s="11">
        <v>7.583136687300839</v>
      </c>
      <c r="AK248" s="6"/>
      <c r="AL248" t="s">
        <v>1088</v>
      </c>
      <c r="AM248">
        <v>0</v>
      </c>
      <c r="AN248" s="6"/>
      <c r="AO248" s="20">
        <v>-0.38940000000000002</v>
      </c>
      <c r="AP248" s="20">
        <v>-1.5298</v>
      </c>
      <c r="AQ248" s="20">
        <v>-0.44419999999999998</v>
      </c>
      <c r="AR248" s="20">
        <v>0.1983</v>
      </c>
      <c r="AS248" s="20">
        <v>-0.40410000000000001</v>
      </c>
      <c r="AT248" s="20">
        <v>-0.3826</v>
      </c>
      <c r="AU248" s="20">
        <v>-0.85099999999999998</v>
      </c>
      <c r="AV248" s="20">
        <v>-0.21679999999999999</v>
      </c>
      <c r="AW248" s="6"/>
      <c r="AX248" s="18">
        <v>7.6149999999999995E-2</v>
      </c>
      <c r="AY248" s="18">
        <v>2.1559999999999999E-8</v>
      </c>
      <c r="AZ248" s="18">
        <v>3.6119999999999999E-2</v>
      </c>
      <c r="BA248" s="18">
        <v>0.3609</v>
      </c>
      <c r="BB248" s="18">
        <v>5.3460000000000001E-2</v>
      </c>
      <c r="BC248" s="18">
        <v>7.2770000000000001E-2</v>
      </c>
      <c r="BD248" s="18">
        <v>4.5840000000000002E-5</v>
      </c>
      <c r="BE248" s="18">
        <v>0.29409999999999997</v>
      </c>
      <c r="BF248" s="13"/>
      <c r="BG248" t="s">
        <v>1128</v>
      </c>
      <c r="BH248" t="s">
        <v>1130</v>
      </c>
      <c r="BI248" t="s">
        <v>1180</v>
      </c>
      <c r="BJ248" t="s">
        <v>1114</v>
      </c>
      <c r="BK248" t="s">
        <v>1115</v>
      </c>
      <c r="BL248" t="s">
        <v>1116</v>
      </c>
      <c r="BM248" t="s">
        <v>1117</v>
      </c>
      <c r="BN248" s="13"/>
      <c r="BO248" t="s">
        <v>973</v>
      </c>
      <c r="BP248" t="s">
        <v>973</v>
      </c>
      <c r="BQ248" t="s">
        <v>973</v>
      </c>
      <c r="BR248" t="s">
        <v>973</v>
      </c>
    </row>
    <row r="249" spans="1:70" x14ac:dyDescent="0.25">
      <c r="A249" t="s">
        <v>246</v>
      </c>
      <c r="B249" t="s">
        <v>247</v>
      </c>
      <c r="C249" t="s">
        <v>248</v>
      </c>
      <c r="D249" s="6"/>
      <c r="E249" s="9" t="str">
        <f>HYPERLINK("http://plants.ensembl.org/Triticum_aestivum/Gene/Summary?g=TRIAE_CS42_2BL_TGACv1_129393_AA0381500","TRIAE_CS42_2BL_TGACv1_129393_AA0381500")</f>
        <v>TRIAE_CS42_2BL_TGACv1_129393_AA0381500</v>
      </c>
      <c r="F249" s="9" t="str">
        <f>HYPERLINK("http://mar2016-plants.ensembl.org/Triticum_aestivum/Gene/Summary?db=core;g=Traes_2BL_E8D89B38E","Traes_2BL_E8D89B38E")</f>
        <v>Traes_2BL_E8D89B38E</v>
      </c>
      <c r="G249" t="s">
        <v>989</v>
      </c>
      <c r="H249" s="8" t="str">
        <f>HYPERLINK("http://plants.ensembl.org/Brachypodium_distachyon/Gene/Summary?g=Bradi4g15130","Bradi4g15130")</f>
        <v>Bradi4g15130</v>
      </c>
      <c r="I249" s="8" t="str">
        <f>HYPERLINK("http://plants.ensembl.org/Arabidopsis_thaliana/Gene/Summary?g=AT4G02680","AT4G02680")</f>
        <v>AT4G02680</v>
      </c>
      <c r="J249" s="9" t="str">
        <f>HYPERLINK("http://plants.ensembl.org/Oryza_sativa/Gene/Summary?db=otherfeatures;g=LOC_Os11g37520","LOC_Os11g37520")</f>
        <v>LOC_Os11g37520</v>
      </c>
      <c r="K249" s="9" t="str">
        <f>HYPERLINK("http://plants.ensembl.org/Zea_mays/Gene/Summary?db=otherfeatures;g=GRMZM2G000936","GRMZM2G000936")</f>
        <v>GRMZM2G000936</v>
      </c>
      <c r="L249" s="6"/>
      <c r="M249" t="s">
        <v>973</v>
      </c>
      <c r="N249" t="s">
        <v>973</v>
      </c>
      <c r="O249">
        <v>1</v>
      </c>
      <c r="P249" t="s">
        <v>973</v>
      </c>
      <c r="S249" t="s">
        <v>973</v>
      </c>
      <c r="T249" s="6"/>
      <c r="U249" s="11">
        <v>6.7509744559018063</v>
      </c>
      <c r="V249" s="11">
        <v>6.1637630411458142</v>
      </c>
      <c r="W249" s="11">
        <v>7.3076425455128566</v>
      </c>
      <c r="X249" s="11">
        <v>7.0861730329684924</v>
      </c>
      <c r="Y249" s="11">
        <v>6.8446781497564411</v>
      </c>
      <c r="Z249" s="11">
        <v>6.7802974115311985</v>
      </c>
      <c r="AA249" s="11">
        <v>7.0627484652050709</v>
      </c>
      <c r="AB249" s="11">
        <v>7.243519617512403</v>
      </c>
      <c r="AC249" s="11">
        <v>7.5615287879785411</v>
      </c>
      <c r="AD249" s="11">
        <v>6.9573737187086362</v>
      </c>
      <c r="AE249" s="11">
        <v>7.6088745270907765</v>
      </c>
      <c r="AF249" s="11">
        <v>7.2973238043013593</v>
      </c>
      <c r="AG249" s="11">
        <v>7.5264522896526636</v>
      </c>
      <c r="AH249" s="11">
        <v>7.1671481484183222</v>
      </c>
      <c r="AI249" s="11">
        <v>7.7655643602035651</v>
      </c>
      <c r="AJ249" s="11">
        <v>7.3343009990898116</v>
      </c>
      <c r="AK249" s="6"/>
      <c r="AL249" t="s">
        <v>1076</v>
      </c>
      <c r="AM249">
        <v>0</v>
      </c>
      <c r="AN249" s="6"/>
      <c r="AO249" s="20">
        <v>-0.871</v>
      </c>
      <c r="AP249" s="20">
        <v>-1.0125999999999999</v>
      </c>
      <c r="AQ249" s="20">
        <v>-0.30320000000000003</v>
      </c>
      <c r="AR249" s="20">
        <v>-0.21659999999999999</v>
      </c>
      <c r="AS249" s="20">
        <v>-0.68579999999999997</v>
      </c>
      <c r="AT249" s="20">
        <v>-0.3826</v>
      </c>
      <c r="AU249" s="20">
        <v>-0.71419999999999995</v>
      </c>
      <c r="AV249" s="20">
        <v>-9.2600000000000002E-2</v>
      </c>
      <c r="AW249" s="6"/>
      <c r="AX249" s="18">
        <v>5.4239999999999999E-7</v>
      </c>
      <c r="AY249" s="18">
        <v>2.283E-5</v>
      </c>
      <c r="AZ249" s="18">
        <v>3.3520000000000001E-2</v>
      </c>
      <c r="BA249" s="18">
        <v>0.14849999999999999</v>
      </c>
      <c r="BB249" s="18">
        <v>3.287E-6</v>
      </c>
      <c r="BC249" s="18">
        <v>1.234E-2</v>
      </c>
      <c r="BD249" s="18">
        <v>4.5200000000000002E-7</v>
      </c>
      <c r="BE249" s="18">
        <v>0.53139999999999998</v>
      </c>
      <c r="BF249" s="13"/>
      <c r="BG249" t="s">
        <v>1128</v>
      </c>
      <c r="BH249" t="s">
        <v>1130</v>
      </c>
      <c r="BI249" t="s">
        <v>1113</v>
      </c>
      <c r="BJ249" t="s">
        <v>1114</v>
      </c>
      <c r="BK249" t="s">
        <v>1115</v>
      </c>
      <c r="BL249" t="s">
        <v>1116</v>
      </c>
      <c r="BM249" t="s">
        <v>1117</v>
      </c>
      <c r="BN249" s="13"/>
      <c r="BO249" t="s">
        <v>973</v>
      </c>
      <c r="BP249" t="s">
        <v>973</v>
      </c>
      <c r="BQ249" t="s">
        <v>973</v>
      </c>
      <c r="BR249" t="s">
        <v>973</v>
      </c>
    </row>
    <row r="250" spans="1:70" x14ac:dyDescent="0.25">
      <c r="A250" t="s">
        <v>480</v>
      </c>
      <c r="B250" t="s">
        <v>481</v>
      </c>
      <c r="C250" t="s">
        <v>248</v>
      </c>
      <c r="D250" s="6"/>
      <c r="E250" s="9" t="str">
        <f>HYPERLINK("http://plants.ensembl.org/Triticum_aestivum/Gene/Summary?g=TRIAE_CS42_4AS_TGACv1_307966_AA1024770","TRIAE_CS42_4AS_TGACv1_307966_AA1024770")</f>
        <v>TRIAE_CS42_4AS_TGACv1_307966_AA1024770</v>
      </c>
      <c r="F250" s="9" t="str">
        <f>HYPERLINK("http://mar2016-plants.ensembl.org/Triticum_aestivum/Gene/Summary?db=core;g=Traes_4AS_E459380C5","Traes_4AS_E459380C5")</f>
        <v>Traes_4AS_E459380C5</v>
      </c>
      <c r="H250" s="8" t="str">
        <f>HYPERLINK("http://plants.ensembl.org/Brachypodium_distachyon/Gene/Summary?g=Bradi1g65350","Bradi1g65350")</f>
        <v>Bradi1g65350</v>
      </c>
      <c r="I250" s="8" t="str">
        <f>HYPERLINK("http://plants.ensembl.org/Arabidopsis_thaliana/Gene/Summary?g=AT3G51770","AT3G51770")</f>
        <v>AT3G51770</v>
      </c>
      <c r="J250" s="9" t="str">
        <f>HYPERLINK("http://plants.ensembl.org/Oryza_sativa/Gene/Summary?db=otherfeatures;g=LOC_Os03g18360","LOC_Os03g18360")</f>
        <v>LOC_Os03g18360</v>
      </c>
      <c r="L250" s="6"/>
      <c r="M250" s="1" t="s">
        <v>973</v>
      </c>
      <c r="N250" s="1" t="s">
        <v>973</v>
      </c>
      <c r="O250" s="1">
        <v>1</v>
      </c>
      <c r="P250" s="1" t="s">
        <v>973</v>
      </c>
      <c r="Q250" s="1" t="s">
        <v>973</v>
      </c>
      <c r="R250" s="1" t="s">
        <v>973</v>
      </c>
      <c r="S250" s="1"/>
      <c r="T250" s="6"/>
      <c r="U250" s="11">
        <v>6.809837140660993</v>
      </c>
      <c r="V250" s="11">
        <v>6.2329900578338329</v>
      </c>
      <c r="W250" s="11">
        <v>6.7259846747959813</v>
      </c>
      <c r="X250" s="11">
        <v>6.1047042765358679</v>
      </c>
      <c r="Y250" s="11">
        <v>6.0441244996380838</v>
      </c>
      <c r="Z250" s="11">
        <v>5.9092538772727323</v>
      </c>
      <c r="AA250" s="11">
        <v>6.7257420652307012</v>
      </c>
      <c r="AB250" s="11">
        <v>6.1805722456418213</v>
      </c>
      <c r="AC250" s="11">
        <v>6.4539329005886739</v>
      </c>
      <c r="AD250" s="11">
        <v>5.9033146958873948</v>
      </c>
      <c r="AE250" s="11">
        <v>6.7506426789419782</v>
      </c>
      <c r="AF250" s="11">
        <v>6.3263090327883269</v>
      </c>
      <c r="AG250" s="11">
        <v>7.0244050130763336</v>
      </c>
      <c r="AH250" s="11">
        <v>6.0069038824502456</v>
      </c>
      <c r="AI250" s="11">
        <v>6.7960339830113679</v>
      </c>
      <c r="AJ250" s="11">
        <v>6.1556608692175248</v>
      </c>
      <c r="AK250" s="6"/>
      <c r="AL250" t="s">
        <v>1101</v>
      </c>
      <c r="AM250">
        <v>0</v>
      </c>
      <c r="AN250" s="6"/>
      <c r="AO250" s="20">
        <v>0.34570000000000001</v>
      </c>
      <c r="AP250" s="20">
        <v>0.26479999999999998</v>
      </c>
      <c r="AQ250" s="20">
        <v>-2.5600000000000001E-2</v>
      </c>
      <c r="AR250" s="20">
        <v>-0.20979999999999999</v>
      </c>
      <c r="AS250" s="20">
        <v>-0.99350000000000005</v>
      </c>
      <c r="AT250" s="20">
        <v>-0.11020000000000001</v>
      </c>
      <c r="AU250" s="20">
        <v>-7.3499999999999996E-2</v>
      </c>
      <c r="AV250" s="20">
        <v>2.35E-2</v>
      </c>
      <c r="AW250" s="6"/>
      <c r="AX250" s="18">
        <v>0.1069</v>
      </c>
      <c r="AY250" s="18">
        <v>0.36570000000000003</v>
      </c>
      <c r="AZ250" s="18">
        <v>0.89319999999999999</v>
      </c>
      <c r="BA250" s="18">
        <v>0.30819999999999997</v>
      </c>
      <c r="BB250" s="18">
        <v>4.291E-7</v>
      </c>
      <c r="BC250" s="18">
        <v>0.60240000000000005</v>
      </c>
      <c r="BD250" s="18">
        <v>0.69540000000000002</v>
      </c>
      <c r="BE250" s="18">
        <v>0.90980000000000005</v>
      </c>
      <c r="BF250" s="13"/>
      <c r="BG250" t="s">
        <v>1111</v>
      </c>
      <c r="BH250" t="s">
        <v>1112</v>
      </c>
      <c r="BI250" t="s">
        <v>1113</v>
      </c>
      <c r="BJ250" t="s">
        <v>1114</v>
      </c>
      <c r="BK250" t="s">
        <v>1208</v>
      </c>
      <c r="BL250" t="s">
        <v>1116</v>
      </c>
      <c r="BM250" t="s">
        <v>1117</v>
      </c>
      <c r="BN250" s="13"/>
      <c r="BO250" t="s">
        <v>973</v>
      </c>
      <c r="BP250" t="s">
        <v>973</v>
      </c>
      <c r="BQ250" t="s">
        <v>973</v>
      </c>
      <c r="BR250" t="s">
        <v>973</v>
      </c>
    </row>
    <row r="251" spans="1:70" x14ac:dyDescent="0.25">
      <c r="A251" t="s">
        <v>47</v>
      </c>
      <c r="B251" t="s">
        <v>48</v>
      </c>
      <c r="C251" t="s">
        <v>49</v>
      </c>
      <c r="D251" s="6"/>
      <c r="E251" s="9" t="str">
        <f>HYPERLINK("http://plants.ensembl.org/Triticum_aestivum/Gene/Summary?g=TRIAE_CS42_1AL_TGACv1_000905_AA0021520","TRIAE_CS42_1AL_TGACv1_000905_AA0021520")</f>
        <v>TRIAE_CS42_1AL_TGACv1_000905_AA0021520</v>
      </c>
      <c r="F251" s="9"/>
      <c r="H251" s="1" t="s">
        <v>1051</v>
      </c>
      <c r="I251" s="1" t="s">
        <v>1051</v>
      </c>
      <c r="J251" s="1" t="s">
        <v>1051</v>
      </c>
      <c r="L251" s="6"/>
      <c r="M251" s="1" t="s">
        <v>973</v>
      </c>
      <c r="N251" s="1" t="s">
        <v>973</v>
      </c>
      <c r="O251" s="1">
        <v>1</v>
      </c>
      <c r="P251" s="1" t="s">
        <v>973</v>
      </c>
      <c r="Q251" s="1" t="s">
        <v>973</v>
      </c>
      <c r="R251" s="1" t="s">
        <v>973</v>
      </c>
      <c r="S251" s="1"/>
      <c r="T251" s="6"/>
      <c r="U251" s="11">
        <v>6.7385985218291511</v>
      </c>
      <c r="V251" s="11">
        <v>6.7010055875130901</v>
      </c>
      <c r="W251" s="11">
        <v>5.7751708488727909</v>
      </c>
      <c r="X251" s="11">
        <v>5.898886321134869</v>
      </c>
      <c r="Y251" s="11">
        <v>5.961817001880104</v>
      </c>
      <c r="Z251" s="11">
        <v>5.7214410190703271</v>
      </c>
      <c r="AA251" s="11">
        <v>6.0841124672373281</v>
      </c>
      <c r="AB251" s="11">
        <v>5.2502440887942656</v>
      </c>
      <c r="AC251" s="11">
        <v>4.9009987974723712</v>
      </c>
      <c r="AD251" s="11">
        <v>3.716972609180814</v>
      </c>
      <c r="AE251" s="11">
        <v>4.595724439921165</v>
      </c>
      <c r="AF251" s="11">
        <v>3.8574767929027076</v>
      </c>
      <c r="AG251" s="11">
        <v>4.2713260665343702</v>
      </c>
      <c r="AH251" s="11">
        <v>4.2961759381350957</v>
      </c>
      <c r="AI251" s="11">
        <v>4.9380583432306615</v>
      </c>
      <c r="AJ251" s="11">
        <v>4.6288202458634293</v>
      </c>
      <c r="AK251" s="6"/>
      <c r="AL251" t="s">
        <v>1077</v>
      </c>
      <c r="AM251">
        <v>516</v>
      </c>
      <c r="AN251" s="6"/>
      <c r="AO251" s="20">
        <v>1.9149</v>
      </c>
      <c r="AP251" s="20">
        <v>2.9529999999999998</v>
      </c>
      <c r="AQ251" s="20">
        <v>1.2045999999999999</v>
      </c>
      <c r="AR251" s="20">
        <v>2.0794000000000001</v>
      </c>
      <c r="AS251" s="20">
        <v>1.7225999999999999</v>
      </c>
      <c r="AT251" s="20">
        <v>1.4749000000000001</v>
      </c>
      <c r="AU251" s="20">
        <v>1.1599999999999999</v>
      </c>
      <c r="AV251" s="20">
        <v>0.63660000000000005</v>
      </c>
      <c r="AW251" s="6"/>
      <c r="AX251" s="18">
        <v>1.9069999999999999E-5</v>
      </c>
      <c r="AY251" s="18">
        <v>2.559E-8</v>
      </c>
      <c r="AZ251" s="18">
        <v>6.6639999999999998E-3</v>
      </c>
      <c r="BA251" s="18">
        <v>7.96E-6</v>
      </c>
      <c r="BB251" s="18">
        <v>9.2919999999999998E-5</v>
      </c>
      <c r="BC251" s="18">
        <v>1.1869999999999999E-3</v>
      </c>
      <c r="BD251" s="18">
        <v>7.5550000000000001E-3</v>
      </c>
      <c r="BE251" s="18">
        <v>0.158</v>
      </c>
      <c r="BF251" s="13"/>
      <c r="BG251" t="s">
        <v>1191</v>
      </c>
      <c r="BH251" t="s">
        <v>1155</v>
      </c>
      <c r="BI251" t="s">
        <v>1113</v>
      </c>
      <c r="BJ251" t="s">
        <v>1114</v>
      </c>
      <c r="BK251" t="s">
        <v>1115</v>
      </c>
      <c r="BL251" t="s">
        <v>1116</v>
      </c>
      <c r="BM251" t="s">
        <v>1117</v>
      </c>
      <c r="BN251" s="13"/>
      <c r="BO251" t="s">
        <v>973</v>
      </c>
      <c r="BP251" t="s">
        <v>973</v>
      </c>
      <c r="BQ251" t="s">
        <v>973</v>
      </c>
      <c r="BR251" t="s">
        <v>973</v>
      </c>
    </row>
    <row r="252" spans="1:70" x14ac:dyDescent="0.25">
      <c r="A252" t="s">
        <v>89</v>
      </c>
      <c r="B252" t="s">
        <v>48</v>
      </c>
      <c r="C252" t="s">
        <v>49</v>
      </c>
      <c r="D252" s="6"/>
      <c r="E252" s="9" t="str">
        <f>HYPERLINK("http://plants.ensembl.org/Triticum_aestivum/Gene/Summary?g=TRIAE_CS42_1BL_TGACv1_032766_AA0133950","TRIAE_CS42_1BL_TGACv1_032766_AA0133950")</f>
        <v>TRIAE_CS42_1BL_TGACv1_032766_AA0133950</v>
      </c>
      <c r="H252" s="1" t="s">
        <v>1051</v>
      </c>
      <c r="I252" s="1" t="s">
        <v>1051</v>
      </c>
      <c r="J252" s="1" t="s">
        <v>1051</v>
      </c>
      <c r="L252" s="6"/>
      <c r="M252" s="1" t="s">
        <v>973</v>
      </c>
      <c r="N252" s="1" t="s">
        <v>973</v>
      </c>
      <c r="O252" s="1">
        <v>1</v>
      </c>
      <c r="P252" s="1" t="s">
        <v>973</v>
      </c>
      <c r="Q252" s="1" t="s">
        <v>973</v>
      </c>
      <c r="R252" s="1" t="s">
        <v>973</v>
      </c>
      <c r="S252" s="1"/>
      <c r="T252" s="6"/>
      <c r="U252" s="11">
        <v>6.6912573054256299</v>
      </c>
      <c r="V252" s="11">
        <v>7.4541539542257897</v>
      </c>
      <c r="W252" s="11">
        <v>6.0863938608968216</v>
      </c>
      <c r="X252" s="11">
        <v>6.0487179046703874</v>
      </c>
      <c r="Y252" s="11">
        <v>6.0132299806067255</v>
      </c>
      <c r="Z252" s="11">
        <v>6.0239871613796447</v>
      </c>
      <c r="AA252" s="11">
        <v>6.6922411950930618</v>
      </c>
      <c r="AB252" s="11">
        <v>5.8985913109235524</v>
      </c>
      <c r="AC252" s="11">
        <v>4.8872295529390186</v>
      </c>
      <c r="AD252" s="11">
        <v>4.1652607708431901</v>
      </c>
      <c r="AE252" s="11">
        <v>4.8582678473461689</v>
      </c>
      <c r="AF252" s="11">
        <v>4.5207134821802226</v>
      </c>
      <c r="AG252" s="11">
        <v>4.5276625765766427</v>
      </c>
      <c r="AH252" s="11">
        <v>3.9000327415091038</v>
      </c>
      <c r="AI252" s="11">
        <v>5.4559375991529961</v>
      </c>
      <c r="AJ252" s="11">
        <v>4.8840394238252385</v>
      </c>
      <c r="AK252" s="6"/>
      <c r="AL252" t="s">
        <v>1077</v>
      </c>
      <c r="AM252">
        <v>176</v>
      </c>
      <c r="AN252" s="6"/>
      <c r="AO252" s="20">
        <v>1.9043000000000001</v>
      </c>
      <c r="AP252" s="20">
        <v>3.5613000000000001</v>
      </c>
      <c r="AQ252" s="20">
        <v>1.2456</v>
      </c>
      <c r="AR252" s="20">
        <v>1.5115000000000001</v>
      </c>
      <c r="AS252" s="20">
        <v>1.5172000000000001</v>
      </c>
      <c r="AT252" s="20">
        <v>2.1909999999999998</v>
      </c>
      <c r="AU252" s="20">
        <v>1.2401</v>
      </c>
      <c r="AV252" s="20">
        <v>1.0294000000000001</v>
      </c>
      <c r="AW252" s="6"/>
      <c r="AX252" s="18">
        <v>9.6080000000000002E-6</v>
      </c>
      <c r="AY252" s="18">
        <v>9.0889999999999999E-13</v>
      </c>
      <c r="AZ252" s="18">
        <v>2.911E-3</v>
      </c>
      <c r="BA252" s="18">
        <v>4.1399999999999998E-4</v>
      </c>
      <c r="BB252" s="18">
        <v>2.8039999999999999E-4</v>
      </c>
      <c r="BC252" s="18">
        <v>9.2959999999999996E-7</v>
      </c>
      <c r="BD252" s="18">
        <v>2.2469999999999999E-3</v>
      </c>
      <c r="BE252" s="18">
        <v>1.4489999999999999E-2</v>
      </c>
      <c r="BF252" s="13"/>
      <c r="BG252" t="s">
        <v>1310</v>
      </c>
      <c r="BH252" t="s">
        <v>1126</v>
      </c>
      <c r="BI252" t="s">
        <v>1113</v>
      </c>
      <c r="BJ252" t="s">
        <v>1114</v>
      </c>
      <c r="BK252" t="s">
        <v>1115</v>
      </c>
      <c r="BL252" t="s">
        <v>1116</v>
      </c>
      <c r="BM252" t="s">
        <v>1117</v>
      </c>
      <c r="BN252" s="13"/>
      <c r="BO252" t="s">
        <v>973</v>
      </c>
      <c r="BP252" t="s">
        <v>973</v>
      </c>
      <c r="BQ252" t="s">
        <v>973</v>
      </c>
      <c r="BR252" t="s">
        <v>973</v>
      </c>
    </row>
    <row r="253" spans="1:70" x14ac:dyDescent="0.25">
      <c r="A253" t="s">
        <v>111</v>
      </c>
      <c r="B253" t="s">
        <v>48</v>
      </c>
      <c r="C253" t="s">
        <v>49</v>
      </c>
      <c r="D253" s="6"/>
      <c r="E253" s="9" t="str">
        <f>HYPERLINK("http://plants.ensembl.org/Triticum_aestivum/Gene/Summary?g=TRIAE_CS42_1DL_TGACv1_061441_AA0195350","TRIAE_CS42_1DL_TGACv1_061441_AA0195350")</f>
        <v>TRIAE_CS42_1DL_TGACv1_061441_AA0195350</v>
      </c>
      <c r="H253" s="1" t="s">
        <v>1051</v>
      </c>
      <c r="I253" s="1" t="s">
        <v>1051</v>
      </c>
      <c r="J253" s="1" t="s">
        <v>1051</v>
      </c>
      <c r="L253" s="6"/>
      <c r="M253" s="1" t="s">
        <v>973</v>
      </c>
      <c r="N253" s="1" t="s">
        <v>973</v>
      </c>
      <c r="O253" s="1">
        <v>1</v>
      </c>
      <c r="P253" s="1" t="s">
        <v>973</v>
      </c>
      <c r="Q253" s="1" t="s">
        <v>973</v>
      </c>
      <c r="R253" s="1" t="s">
        <v>973</v>
      </c>
      <c r="S253" s="1"/>
      <c r="T253" s="6"/>
      <c r="U253" s="11">
        <v>6.9643990172914947</v>
      </c>
      <c r="V253" s="11">
        <v>7.8105279355212982</v>
      </c>
      <c r="W253" s="11">
        <v>5.9305426000078434</v>
      </c>
      <c r="X253" s="11">
        <v>6.1875216562008495</v>
      </c>
      <c r="Y253" s="11">
        <v>5.9314269859036886</v>
      </c>
      <c r="Z253" s="11">
        <v>5.9675990149893634</v>
      </c>
      <c r="AA253" s="11">
        <v>6.4972892824144228</v>
      </c>
      <c r="AB253" s="11">
        <v>5.3074054516022002</v>
      </c>
      <c r="AC253" s="11">
        <v>4.6976181566372421</v>
      </c>
      <c r="AD253" s="11">
        <v>3.1173182528303052</v>
      </c>
      <c r="AE253" s="11">
        <v>4.9252699771480399</v>
      </c>
      <c r="AF253" s="11">
        <v>3.8864981222243715</v>
      </c>
      <c r="AG253" s="11">
        <v>4.4354552468958008</v>
      </c>
      <c r="AH253" s="11">
        <v>4.216206504654223</v>
      </c>
      <c r="AI253" s="11">
        <v>4.798145584996182</v>
      </c>
      <c r="AJ253" s="11">
        <v>4.4240778064089232</v>
      </c>
      <c r="AK253" s="6"/>
      <c r="AL253" t="s">
        <v>1077</v>
      </c>
      <c r="AM253">
        <v>188</v>
      </c>
      <c r="AN253" s="6"/>
      <c r="AO253" s="20">
        <v>2.3193999999999999</v>
      </c>
      <c r="AP253" s="20">
        <v>4.3712</v>
      </c>
      <c r="AQ253" s="20">
        <v>1.0135000000000001</v>
      </c>
      <c r="AR253" s="20">
        <v>2.3020999999999998</v>
      </c>
      <c r="AS253" s="20">
        <v>1.5102</v>
      </c>
      <c r="AT253" s="20">
        <v>1.7877000000000001</v>
      </c>
      <c r="AU253" s="20">
        <v>1.7047000000000001</v>
      </c>
      <c r="AV253" s="20">
        <v>0.89539999999999997</v>
      </c>
      <c r="AW253" s="6"/>
      <c r="AX253" s="18">
        <v>1.506E-4</v>
      </c>
      <c r="AY253" s="18">
        <v>2.2489999999999999E-10</v>
      </c>
      <c r="AZ253" s="18">
        <v>9.2619999999999994E-2</v>
      </c>
      <c r="BA253" s="18">
        <v>2.076E-4</v>
      </c>
      <c r="BB253" s="18">
        <v>1.2330000000000001E-2</v>
      </c>
      <c r="BC253" s="18">
        <v>3.6619999999999999E-3</v>
      </c>
      <c r="BD253" s="18">
        <v>4.5389999999999996E-3</v>
      </c>
      <c r="BE253" s="18">
        <v>0.1449</v>
      </c>
      <c r="BF253" s="13"/>
      <c r="BG253" t="s">
        <v>1191</v>
      </c>
      <c r="BH253" t="s">
        <v>1126</v>
      </c>
      <c r="BI253" t="s">
        <v>1113</v>
      </c>
      <c r="BJ253" t="s">
        <v>1114</v>
      </c>
      <c r="BK253" t="s">
        <v>1115</v>
      </c>
      <c r="BL253" t="s">
        <v>1116</v>
      </c>
      <c r="BM253" t="s">
        <v>1117</v>
      </c>
      <c r="BN253" s="13"/>
      <c r="BO253" t="s">
        <v>973</v>
      </c>
      <c r="BP253" t="s">
        <v>973</v>
      </c>
      <c r="BQ253" t="s">
        <v>973</v>
      </c>
      <c r="BR253" t="s">
        <v>973</v>
      </c>
    </row>
    <row r="254" spans="1:70" x14ac:dyDescent="0.25">
      <c r="A254" t="s">
        <v>331</v>
      </c>
      <c r="B254" t="s">
        <v>48</v>
      </c>
      <c r="C254" t="s">
        <v>49</v>
      </c>
      <c r="D254" s="6"/>
      <c r="H254" s="8" t="str">
        <f>HYPERLINK("http://plants.ensembl.org/Brachypodium_distachyon/Gene/Summary?g=Bradi2g52370","Bradi2g52370")</f>
        <v>Bradi2g52370</v>
      </c>
      <c r="I254" s="8" t="str">
        <f>HYPERLINK("http://plants.ensembl.org/Arabidopsis_thaliana/Gene/Summary?g=AT3G15210","AT3G15210")</f>
        <v>AT3G15210</v>
      </c>
      <c r="J254" s="9" t="str">
        <f>HYPERLINK("http://plants.ensembl.org/Oryza_sativa/Gene/Summary?db=otherfeatures;g=LOC_Os01g58420","LOC_Os01g58420")</f>
        <v>LOC_Os01g58420</v>
      </c>
      <c r="L254" s="6"/>
      <c r="M254" s="1" t="s">
        <v>973</v>
      </c>
      <c r="N254" s="1" t="s">
        <v>973</v>
      </c>
      <c r="O254" s="1">
        <v>1</v>
      </c>
      <c r="P254" s="1" t="s">
        <v>973</v>
      </c>
      <c r="Q254" s="1" t="s">
        <v>973</v>
      </c>
      <c r="R254" s="1" t="s">
        <v>973</v>
      </c>
      <c r="S254" s="1"/>
      <c r="T254" s="6"/>
      <c r="U254" s="11">
        <v>6.434023225190165</v>
      </c>
      <c r="V254" s="11">
        <v>6.3395192731523107</v>
      </c>
      <c r="W254" s="11">
        <v>6.0211813559893761</v>
      </c>
      <c r="X254" s="11">
        <v>6.4082465100434165</v>
      </c>
      <c r="Y254" s="11">
        <v>6.4856704760697284</v>
      </c>
      <c r="Z254" s="11">
        <v>6.739394939623689</v>
      </c>
      <c r="AA254" s="11">
        <v>6.9856438729646184</v>
      </c>
      <c r="AB254" s="11">
        <v>6.0270839974492629</v>
      </c>
      <c r="AC254" s="11">
        <v>6.0920939477136073</v>
      </c>
      <c r="AD254" s="11">
        <v>3.9481865426724849</v>
      </c>
      <c r="AE254" s="11">
        <v>5.3720164565772324</v>
      </c>
      <c r="AF254" s="11">
        <v>5.4953274075785998</v>
      </c>
      <c r="AG254" s="11">
        <v>5.3264522584531022</v>
      </c>
      <c r="AH254" s="11">
        <v>5.2068463621459227</v>
      </c>
      <c r="AI254" s="11">
        <v>6.3452112479312515</v>
      </c>
      <c r="AJ254" s="11">
        <v>6.0695940520944145</v>
      </c>
      <c r="AK254" s="6"/>
      <c r="AL254" t="s">
        <v>1077</v>
      </c>
      <c r="AM254">
        <v>0</v>
      </c>
      <c r="AN254" s="6"/>
      <c r="AO254" s="20">
        <v>0.37730000000000002</v>
      </c>
      <c r="AP254" s="20">
        <v>2.2364000000000002</v>
      </c>
      <c r="AQ254" s="20">
        <v>0.6583</v>
      </c>
      <c r="AR254" s="20">
        <v>0.89749999999999996</v>
      </c>
      <c r="AS254" s="20">
        <v>1.1713</v>
      </c>
      <c r="AT254" s="20">
        <v>1.5496000000000001</v>
      </c>
      <c r="AU254" s="20">
        <v>0.63939999999999997</v>
      </c>
      <c r="AV254" s="20">
        <v>-4.3099999999999999E-2</v>
      </c>
      <c r="AW254" s="6"/>
      <c r="AX254" s="18">
        <v>0.373</v>
      </c>
      <c r="AY254" s="18">
        <v>1.3190000000000001E-5</v>
      </c>
      <c r="AZ254" s="18">
        <v>0.1144</v>
      </c>
      <c r="BA254" s="18">
        <v>3.099E-2</v>
      </c>
      <c r="BB254" s="18">
        <v>4.3829999999999997E-3</v>
      </c>
      <c r="BC254" s="18">
        <v>2.0880000000000001E-4</v>
      </c>
      <c r="BD254" s="18">
        <v>0.113</v>
      </c>
      <c r="BE254" s="18">
        <v>0.91679999999999995</v>
      </c>
      <c r="BF254" s="13"/>
      <c r="BG254" t="s">
        <v>1362</v>
      </c>
      <c r="BH254" t="s">
        <v>1112</v>
      </c>
      <c r="BI254" t="s">
        <v>1113</v>
      </c>
      <c r="BJ254" t="s">
        <v>1114</v>
      </c>
      <c r="BK254" t="s">
        <v>1115</v>
      </c>
      <c r="BL254" t="s">
        <v>1116</v>
      </c>
      <c r="BM254" t="s">
        <v>1117</v>
      </c>
      <c r="BN254" s="13"/>
      <c r="BO254" t="s">
        <v>973</v>
      </c>
      <c r="BP254" t="s">
        <v>973</v>
      </c>
      <c r="BQ254" t="s">
        <v>973</v>
      </c>
      <c r="BR254" t="s">
        <v>973</v>
      </c>
    </row>
    <row r="255" spans="1:70" x14ac:dyDescent="0.25">
      <c r="A255" t="s">
        <v>388</v>
      </c>
      <c r="B255" t="s">
        <v>48</v>
      </c>
      <c r="C255" t="s">
        <v>49</v>
      </c>
      <c r="D255" s="6"/>
      <c r="E255" s="9" t="str">
        <f>HYPERLINK("http://plants.ensembl.org/Triticum_aestivum/Gene/Summary?g=TRIAE_CS42_3B_TGACv1_222710_AA0769340","TRIAE_CS42_3B_TGACv1_222710_AA0769340")</f>
        <v>TRIAE_CS42_3B_TGACv1_222710_AA0769340</v>
      </c>
      <c r="F255" s="9" t="str">
        <f>HYPERLINK("http://mar2016-plants.ensembl.org/Triticum_aestivum/Gene/Summary?db=core;g=TRAES3BF075600050CFD","TRAES3BF075600050CFD")</f>
        <v>TRAES3BF075600050CFD</v>
      </c>
      <c r="H255" s="8" t="str">
        <f>HYPERLINK("http://plants.ensembl.org/Brachypodium_distachyon/Gene/Summary?g=Bradi2g52370","Bradi2g52370")</f>
        <v>Bradi2g52370</v>
      </c>
      <c r="I255" s="8" t="str">
        <f>HYPERLINK("http://plants.ensembl.org/Arabidopsis_thaliana/Gene/Summary?g=AT3G15210","AT3G15210")</f>
        <v>AT3G15210</v>
      </c>
      <c r="J255" s="9" t="str">
        <f>HYPERLINK("http://plants.ensembl.org/Oryza_sativa/Gene/Summary?db=otherfeatures;g=LOC_Os01g58420","LOC_Os01g58420")</f>
        <v>LOC_Os01g58420</v>
      </c>
      <c r="L255" s="6"/>
      <c r="M255" s="1" t="s">
        <v>973</v>
      </c>
      <c r="N255" s="1" t="s">
        <v>973</v>
      </c>
      <c r="O255" s="1">
        <v>1</v>
      </c>
      <c r="P255" s="1" t="s">
        <v>973</v>
      </c>
      <c r="Q255" s="1" t="s">
        <v>973</v>
      </c>
      <c r="R255" s="1" t="s">
        <v>973</v>
      </c>
      <c r="S255" s="1"/>
      <c r="T255" s="6"/>
      <c r="U255" s="11">
        <v>7.5589571277100722</v>
      </c>
      <c r="V255" s="11">
        <v>7.9017621278271601</v>
      </c>
      <c r="W255" s="11">
        <v>6.6056276691237112</v>
      </c>
      <c r="X255" s="11">
        <v>7.0894561309431561</v>
      </c>
      <c r="Y255" s="11">
        <v>7.0166289144499299</v>
      </c>
      <c r="Z255" s="11">
        <v>7.1022696934785809</v>
      </c>
      <c r="AA255" s="11">
        <v>7.1438892802979899</v>
      </c>
      <c r="AB255" s="11">
        <v>6.5135275915320978</v>
      </c>
      <c r="AC255" s="11">
        <v>6.2980925137389594</v>
      </c>
      <c r="AD255" s="11">
        <v>5.7182099958994703</v>
      </c>
      <c r="AE255" s="11">
        <v>5.4738972846005813</v>
      </c>
      <c r="AF255" s="11">
        <v>5.5095533386778648</v>
      </c>
      <c r="AG255" s="11">
        <v>5.5296012987458267</v>
      </c>
      <c r="AH255" s="11">
        <v>5.1625631998128254</v>
      </c>
      <c r="AI255" s="11">
        <v>6.6703319160613699</v>
      </c>
      <c r="AJ255" s="11">
        <v>6.3397805381177506</v>
      </c>
      <c r="AK255" s="6"/>
      <c r="AL255" t="s">
        <v>1077</v>
      </c>
      <c r="AM255">
        <v>37</v>
      </c>
      <c r="AN255" s="6"/>
      <c r="AO255" s="20">
        <v>1.2810999999999999</v>
      </c>
      <c r="AP255" s="20">
        <v>2.3260999999999998</v>
      </c>
      <c r="AQ255" s="20">
        <v>1.1432</v>
      </c>
      <c r="AR255" s="20">
        <v>1.569</v>
      </c>
      <c r="AS255" s="20">
        <v>1.4968999999999999</v>
      </c>
      <c r="AT255" s="20">
        <v>1.9565999999999999</v>
      </c>
      <c r="AU255" s="20">
        <v>0.4723</v>
      </c>
      <c r="AV255" s="20">
        <v>0.17399999999999999</v>
      </c>
      <c r="AW255" s="6"/>
      <c r="AX255" s="18">
        <v>1.7179999999999999E-3</v>
      </c>
      <c r="AY255" s="18">
        <v>1.659E-7</v>
      </c>
      <c r="AZ255" s="18">
        <v>5.3E-3</v>
      </c>
      <c r="BA255" s="18">
        <v>1.2960000000000001E-4</v>
      </c>
      <c r="BB255" s="18">
        <v>2.1249999999999999E-4</v>
      </c>
      <c r="BC255" s="18">
        <v>2.3309999999999998E-6</v>
      </c>
      <c r="BD255" s="18">
        <v>0.2359</v>
      </c>
      <c r="BE255" s="18">
        <v>0.66749999999999998</v>
      </c>
      <c r="BF255" s="13"/>
      <c r="BG255" t="s">
        <v>1185</v>
      </c>
      <c r="BH255" t="s">
        <v>1155</v>
      </c>
      <c r="BI255" t="s">
        <v>1113</v>
      </c>
      <c r="BJ255" t="s">
        <v>1114</v>
      </c>
      <c r="BK255" t="s">
        <v>1115</v>
      </c>
      <c r="BL255" t="s">
        <v>1116</v>
      </c>
      <c r="BM255" t="s">
        <v>1259</v>
      </c>
      <c r="BN255" s="13"/>
      <c r="BO255" t="s">
        <v>973</v>
      </c>
      <c r="BP255" t="s">
        <v>973</v>
      </c>
      <c r="BQ255" t="s">
        <v>973</v>
      </c>
      <c r="BR255" t="s">
        <v>973</v>
      </c>
    </row>
    <row r="256" spans="1:70" x14ac:dyDescent="0.25">
      <c r="A256" t="s">
        <v>30</v>
      </c>
      <c r="B256" t="s">
        <v>31</v>
      </c>
      <c r="C256" t="s">
        <v>32</v>
      </c>
      <c r="D256" s="6"/>
      <c r="E256" s="9" t="str">
        <f>HYPERLINK("http://plants.ensembl.org/Triticum_aestivum/Gene/Summary?g=TRIAE_CS42_1AL_TGACv1_001416_AA0030250","TRIAE_CS42_1AL_TGACv1_001416_AA0030250")</f>
        <v>TRIAE_CS42_1AL_TGACv1_001416_AA0030250</v>
      </c>
      <c r="F256" s="9"/>
      <c r="H256" s="8" t="str">
        <f>HYPERLINK("http://plants.ensembl.org/Brachypodium_distachyon/Gene/Summary?g=Bradi2g27920","Bradi2g27920")</f>
        <v>Bradi2g27920</v>
      </c>
      <c r="I256" s="1" t="s">
        <v>1051</v>
      </c>
      <c r="J256" s="9" t="str">
        <f>HYPERLINK("http://plants.ensembl.org/Oryza_sativa/Gene/Summary?db=otherfeatures;g=LOC_Os05g29810","LOC_Os05g29810")</f>
        <v>LOC_Os05g29810</v>
      </c>
      <c r="L256" s="6"/>
      <c r="M256" s="1" t="s">
        <v>973</v>
      </c>
      <c r="N256" s="1" t="s">
        <v>973</v>
      </c>
      <c r="O256" s="1">
        <v>1</v>
      </c>
      <c r="P256" s="1" t="s">
        <v>973</v>
      </c>
      <c r="Q256" s="1" t="s">
        <v>973</v>
      </c>
      <c r="R256" s="1" t="s">
        <v>973</v>
      </c>
      <c r="S256" s="1"/>
      <c r="T256" s="6"/>
      <c r="U256" s="11">
        <v>4.6112727276820982</v>
      </c>
      <c r="V256" s="11">
        <v>4.0983437556657858</v>
      </c>
      <c r="W256" s="11">
        <v>5.2606404523737842</v>
      </c>
      <c r="X256" s="11">
        <v>4.8589242424306187</v>
      </c>
      <c r="Y256" s="11">
        <v>6.4117691388287072</v>
      </c>
      <c r="Z256" s="11">
        <v>7.0645505722175406</v>
      </c>
      <c r="AA256" s="11">
        <v>5.9924126973398391</v>
      </c>
      <c r="AB256" s="11">
        <v>4.8601152676333905</v>
      </c>
      <c r="AC256" s="11">
        <v>4.8012793930940889</v>
      </c>
      <c r="AD256" s="11">
        <v>5.4132172031195429</v>
      </c>
      <c r="AE256" s="11">
        <v>5.287058517422329</v>
      </c>
      <c r="AF256" s="11">
        <v>5.1872887219072732</v>
      </c>
      <c r="AG256" s="11">
        <v>5.8112723551402583</v>
      </c>
      <c r="AH256" s="11">
        <v>6.8616150735517545</v>
      </c>
      <c r="AI256" s="11">
        <v>4.0487186311236023</v>
      </c>
      <c r="AJ256" s="11">
        <v>4.7398589012744896</v>
      </c>
      <c r="AK256" s="6"/>
      <c r="AL256" t="s">
        <v>1084</v>
      </c>
      <c r="AM256">
        <v>0</v>
      </c>
      <c r="AN256" s="6"/>
      <c r="AO256" s="20">
        <v>-4.8999999999999998E-3</v>
      </c>
      <c r="AP256" s="20">
        <v>-1.4097</v>
      </c>
      <c r="AQ256" s="20">
        <v>-2.1000000000000001E-2</v>
      </c>
      <c r="AR256" s="20">
        <v>-0.3508</v>
      </c>
      <c r="AS256" s="20">
        <v>0.60260000000000002</v>
      </c>
      <c r="AT256" s="20">
        <v>0.2112</v>
      </c>
      <c r="AU256" s="20">
        <v>1.9851000000000001</v>
      </c>
      <c r="AV256" s="20">
        <v>0.12230000000000001</v>
      </c>
      <c r="AW256" s="6"/>
      <c r="AX256" s="18">
        <v>0.99239999999999995</v>
      </c>
      <c r="AY256" s="18">
        <v>2.4580000000000001E-2</v>
      </c>
      <c r="AZ256" s="18">
        <v>0.96450000000000002</v>
      </c>
      <c r="BA256" s="18">
        <v>0.46579999999999999</v>
      </c>
      <c r="BB256" s="18">
        <v>0.1867</v>
      </c>
      <c r="BC256" s="18">
        <v>0.63990000000000002</v>
      </c>
      <c r="BD256" s="18">
        <v>4.0729999999999998E-5</v>
      </c>
      <c r="BE256" s="18">
        <v>0.80149999999999999</v>
      </c>
      <c r="BF256" s="13"/>
      <c r="BG256" t="s">
        <v>1111</v>
      </c>
      <c r="BH256" t="s">
        <v>1141</v>
      </c>
      <c r="BI256" t="s">
        <v>1145</v>
      </c>
      <c r="BJ256" t="s">
        <v>1114</v>
      </c>
      <c r="BK256" t="s">
        <v>1115</v>
      </c>
      <c r="BL256" t="s">
        <v>1200</v>
      </c>
      <c r="BM256" t="s">
        <v>1152</v>
      </c>
      <c r="BN256" s="13"/>
      <c r="BO256" t="s">
        <v>973</v>
      </c>
      <c r="BP256" t="s">
        <v>973</v>
      </c>
      <c r="BQ256" t="s">
        <v>973</v>
      </c>
      <c r="BR256" t="s">
        <v>973</v>
      </c>
    </row>
    <row r="257" spans="1:70" x14ac:dyDescent="0.25">
      <c r="A257" t="s">
        <v>57</v>
      </c>
      <c r="B257" t="s">
        <v>58</v>
      </c>
      <c r="C257" t="s">
        <v>32</v>
      </c>
      <c r="D257" s="6"/>
      <c r="E257" s="9" t="str">
        <f>HYPERLINK("http://plants.ensembl.org/Triticum_aestivum/Gene/Summary?g=TRIAE_CS42_1AL_TGACv1_000668_AA0016690","TRIAE_CS42_1AL_TGACv1_000668_AA0016690")</f>
        <v>TRIAE_CS42_1AL_TGACv1_000668_AA0016690</v>
      </c>
      <c r="F257" s="9"/>
      <c r="H257" s="1" t="s">
        <v>1051</v>
      </c>
      <c r="I257" s="1" t="s">
        <v>1051</v>
      </c>
      <c r="J257" s="1" t="s">
        <v>1051</v>
      </c>
      <c r="L257" s="6"/>
      <c r="M257" s="1" t="s">
        <v>973</v>
      </c>
      <c r="N257" s="1" t="s">
        <v>973</v>
      </c>
      <c r="O257" s="1">
        <v>1</v>
      </c>
      <c r="P257" s="1" t="s">
        <v>973</v>
      </c>
      <c r="Q257" s="1" t="s">
        <v>973</v>
      </c>
      <c r="R257" s="1" t="s">
        <v>973</v>
      </c>
      <c r="S257" s="1"/>
      <c r="T257" s="6"/>
      <c r="U257" s="11">
        <v>5.6827006324117688</v>
      </c>
      <c r="V257" s="11">
        <v>7.4671802863307901</v>
      </c>
      <c r="W257" s="11">
        <v>2.4469090450619553</v>
      </c>
      <c r="X257" s="11">
        <v>3.2503502181776205</v>
      </c>
      <c r="Y257" s="11">
        <v>3.3237639579878153</v>
      </c>
      <c r="Z257" s="11">
        <v>3.8088826825968201</v>
      </c>
      <c r="AA257" s="11">
        <v>3.8091640260749089</v>
      </c>
      <c r="AB257" s="11">
        <v>3.8449881566826121</v>
      </c>
      <c r="AC257" s="11">
        <v>0</v>
      </c>
      <c r="AD257" s="11">
        <v>0</v>
      </c>
      <c r="AE257" s="11">
        <v>0.66235743425866345</v>
      </c>
      <c r="AF257" s="11">
        <v>0</v>
      </c>
      <c r="AG257" s="11">
        <v>0.40689942983516691</v>
      </c>
      <c r="AH257" s="11">
        <v>0</v>
      </c>
      <c r="AI257" s="11">
        <v>1.9042464390775087</v>
      </c>
      <c r="AJ257" s="11">
        <v>1.2069557323872793</v>
      </c>
      <c r="AK257" s="6"/>
      <c r="AL257" t="s">
        <v>1077</v>
      </c>
      <c r="AM257">
        <v>76</v>
      </c>
      <c r="AN257" s="6"/>
      <c r="AO257" s="20">
        <v>7.5643000000000002</v>
      </c>
      <c r="AP257" s="20">
        <v>8.3201000000000001</v>
      </c>
      <c r="AQ257" s="20">
        <v>2.7402000000000002</v>
      </c>
      <c r="AR257" s="20">
        <v>5.0839999999999996</v>
      </c>
      <c r="AS257" s="20">
        <v>4.3407</v>
      </c>
      <c r="AT257" s="20">
        <v>5.6441999999999997</v>
      </c>
      <c r="AU257" s="20">
        <v>2.1543999999999999</v>
      </c>
      <c r="AV257" s="20">
        <v>3.2267999999999999</v>
      </c>
      <c r="AW257" s="6"/>
      <c r="AX257" s="18">
        <v>1.026E-9</v>
      </c>
      <c r="AY257" s="18">
        <v>1.378E-11</v>
      </c>
      <c r="AZ257" s="18">
        <v>1.55E-2</v>
      </c>
      <c r="BA257" s="18">
        <v>4.9159999999999997E-5</v>
      </c>
      <c r="BB257" s="18">
        <v>9.6830000000000006E-5</v>
      </c>
      <c r="BC257" s="18">
        <v>5.5280000000000003E-6</v>
      </c>
      <c r="BD257" s="18">
        <v>1.125E-2</v>
      </c>
      <c r="BE257" s="18">
        <v>6.5669999999999997E-4</v>
      </c>
      <c r="BF257" s="13"/>
      <c r="BG257" t="s">
        <v>1125</v>
      </c>
      <c r="BH257" t="s">
        <v>1126</v>
      </c>
      <c r="BI257" t="s">
        <v>1113</v>
      </c>
      <c r="BJ257" t="s">
        <v>1114</v>
      </c>
      <c r="BK257" t="s">
        <v>1115</v>
      </c>
      <c r="BL257" t="s">
        <v>1116</v>
      </c>
      <c r="BM257" t="s">
        <v>1117</v>
      </c>
      <c r="BN257" s="13"/>
      <c r="BO257" t="s">
        <v>973</v>
      </c>
      <c r="BP257">
        <v>1</v>
      </c>
      <c r="BQ257" t="s">
        <v>973</v>
      </c>
      <c r="BR257" t="s">
        <v>973</v>
      </c>
    </row>
    <row r="258" spans="1:70" x14ac:dyDescent="0.25">
      <c r="A258" t="s">
        <v>59</v>
      </c>
      <c r="B258" t="s">
        <v>58</v>
      </c>
      <c r="C258" t="s">
        <v>32</v>
      </c>
      <c r="D258" s="6"/>
      <c r="E258" s="9" t="str">
        <f>HYPERLINK("http://plants.ensembl.org/Triticum_aestivum/Gene/Summary?g=TRIAE_CS42_1AL_TGACv1_000668_AA0016720","TRIAE_CS42_1AL_TGACv1_000668_AA0016720")</f>
        <v>TRIAE_CS42_1AL_TGACv1_000668_AA0016720</v>
      </c>
      <c r="F258" s="9" t="str">
        <f>HYPERLINK("http://mar2016-plants.ensembl.org/Triticum_aestivum/Gene/Summary?db=core;g=Traes_1AL_258E7F2A3","Traes_1AL_258E7F2A3")</f>
        <v>Traes_1AL_258E7F2A3</v>
      </c>
      <c r="H258" s="1" t="s">
        <v>1051</v>
      </c>
      <c r="I258" s="1" t="s">
        <v>1051</v>
      </c>
      <c r="J258" s="1" t="s">
        <v>1051</v>
      </c>
      <c r="L258" s="6"/>
      <c r="M258" s="1" t="s">
        <v>973</v>
      </c>
      <c r="N258" s="1" t="s">
        <v>973</v>
      </c>
      <c r="O258" s="1">
        <v>1</v>
      </c>
      <c r="P258" s="1" t="s">
        <v>973</v>
      </c>
      <c r="Q258" s="1" t="s">
        <v>973</v>
      </c>
      <c r="R258" s="1" t="s">
        <v>973</v>
      </c>
      <c r="S258" s="1"/>
      <c r="T258" s="6"/>
      <c r="U258" s="11">
        <v>8.0371158655443953</v>
      </c>
      <c r="V258" s="11">
        <v>9.1952654009507082</v>
      </c>
      <c r="W258" s="11">
        <v>6.1201300276438415</v>
      </c>
      <c r="X258" s="11">
        <v>5.7255566731210079</v>
      </c>
      <c r="Y258" s="11">
        <v>7.4834471309889841</v>
      </c>
      <c r="Z258" s="11">
        <v>6.9067338943872318</v>
      </c>
      <c r="AA258" s="11">
        <v>6.2955467170210548</v>
      </c>
      <c r="AB258" s="11">
        <v>6.0907306606847618</v>
      </c>
      <c r="AC258" s="11">
        <v>1.7253194455309839</v>
      </c>
      <c r="AD258" s="11">
        <v>0</v>
      </c>
      <c r="AE258" s="11">
        <v>0.88022838720482632</v>
      </c>
      <c r="AF258" s="11">
        <v>0.666726298757507</v>
      </c>
      <c r="AG258" s="11">
        <v>0.40689942983516691</v>
      </c>
      <c r="AH258" s="11">
        <v>0.71852602646226216</v>
      </c>
      <c r="AI258" s="11">
        <v>4.1563534667063555</v>
      </c>
      <c r="AJ258" s="11">
        <v>3.3359786280120378</v>
      </c>
      <c r="AK258" s="6"/>
      <c r="AL258" t="s">
        <v>1077</v>
      </c>
      <c r="AM258">
        <v>600</v>
      </c>
      <c r="AN258" s="6"/>
      <c r="AO258" s="20">
        <v>6.8819999999999997</v>
      </c>
      <c r="AP258" s="20">
        <v>9.8668999999999993</v>
      </c>
      <c r="AQ258" s="20">
        <v>6.0689000000000002</v>
      </c>
      <c r="AR258" s="20">
        <v>5.7192999999999996</v>
      </c>
      <c r="AS258" s="20">
        <v>8.4579000000000004</v>
      </c>
      <c r="AT258" s="20">
        <v>7.1326000000000001</v>
      </c>
      <c r="AU258" s="20">
        <v>2.1633</v>
      </c>
      <c r="AV258" s="20">
        <v>2.8376000000000001</v>
      </c>
      <c r="AW258" s="6"/>
      <c r="AX258" s="18">
        <v>1.5E-19</v>
      </c>
      <c r="AY258" s="18">
        <v>6.325E-19</v>
      </c>
      <c r="AZ258" s="18">
        <v>8.7760000000000006E-12</v>
      </c>
      <c r="BA258" s="18">
        <v>3.2450000000000002E-10</v>
      </c>
      <c r="BB258" s="18">
        <v>1.4060000000000001E-18</v>
      </c>
      <c r="BC258" s="18">
        <v>1.776E-13</v>
      </c>
      <c r="BD258" s="18">
        <v>2.231E-4</v>
      </c>
      <c r="BE258" s="18">
        <v>3.2550000000000002E-6</v>
      </c>
      <c r="BF258" s="13"/>
      <c r="BG258" t="s">
        <v>1308</v>
      </c>
      <c r="BH258" t="s">
        <v>1144</v>
      </c>
      <c r="BI258" t="s">
        <v>1113</v>
      </c>
      <c r="BJ258" t="s">
        <v>1114</v>
      </c>
      <c r="BK258" t="s">
        <v>1115</v>
      </c>
      <c r="BL258" t="s">
        <v>1116</v>
      </c>
      <c r="BM258" t="s">
        <v>1117</v>
      </c>
      <c r="BN258" s="13"/>
      <c r="BO258" t="s">
        <v>973</v>
      </c>
      <c r="BP258" t="s">
        <v>973</v>
      </c>
      <c r="BQ258" t="s">
        <v>973</v>
      </c>
      <c r="BR258" t="s">
        <v>973</v>
      </c>
    </row>
    <row r="259" spans="1:70" x14ac:dyDescent="0.25">
      <c r="A259" t="s">
        <v>60</v>
      </c>
      <c r="B259" t="s">
        <v>61</v>
      </c>
      <c r="C259" t="s">
        <v>32</v>
      </c>
      <c r="D259" s="6"/>
      <c r="E259" s="9" t="str">
        <f>HYPERLINK("http://plants.ensembl.org/Triticum_aestivum/Gene/Summary?g=TRIAE_CS42_1AL_TGACv1_000668_AA0016740","TRIAE_CS42_1AL_TGACv1_000668_AA0016740")</f>
        <v>TRIAE_CS42_1AL_TGACv1_000668_AA0016740</v>
      </c>
      <c r="F259" s="9"/>
      <c r="H259" s="8" t="str">
        <f>HYPERLINK("http://plants.ensembl.org/Brachypodium_distachyon/Gene/Summary?g=Bradi3g38140","Bradi3g38140")</f>
        <v>Bradi3g38140</v>
      </c>
      <c r="I259" s="8" t="str">
        <f>HYPERLINK("http://plants.ensembl.org/Arabidopsis_thaliana/Gene/Summary?g=AT4G34410","AT4G34410")</f>
        <v>AT4G34410</v>
      </c>
      <c r="J259" s="9" t="str">
        <f>HYPERLINK("http://plants.ensembl.org/Oryza_sativa/Gene/Summary?db=otherfeatures;g=LOC_Os08g36920","LOC_Os08g36920")</f>
        <v>LOC_Os08g36920</v>
      </c>
      <c r="L259" s="6"/>
      <c r="M259" s="1" t="s">
        <v>973</v>
      </c>
      <c r="N259" s="1" t="s">
        <v>973</v>
      </c>
      <c r="O259" s="1">
        <v>1</v>
      </c>
      <c r="P259" s="1" t="s">
        <v>973</v>
      </c>
      <c r="Q259" s="1" t="s">
        <v>973</v>
      </c>
      <c r="R259" s="1" t="s">
        <v>973</v>
      </c>
      <c r="S259" s="1"/>
      <c r="T259" s="6"/>
      <c r="U259" s="11">
        <v>5.7595926251068201</v>
      </c>
      <c r="V259" s="11">
        <v>7.3399251041902041</v>
      </c>
      <c r="W259" s="11">
        <v>3.5194957765143875</v>
      </c>
      <c r="X259" s="11">
        <v>3.0296531234984543</v>
      </c>
      <c r="Y259" s="11">
        <v>5.123417891176671</v>
      </c>
      <c r="Z259" s="11">
        <v>4.0249903930067923</v>
      </c>
      <c r="AA259" s="11">
        <v>4.9259677801601676</v>
      </c>
      <c r="AB259" s="11">
        <v>3.8337874119176045</v>
      </c>
      <c r="AC259" s="11">
        <v>0.91894590172954871</v>
      </c>
      <c r="AD259" s="11">
        <v>0</v>
      </c>
      <c r="AE259" s="11">
        <v>0.59024270806259049</v>
      </c>
      <c r="AF259" s="11">
        <v>0</v>
      </c>
      <c r="AG259" s="11">
        <v>0.31490916854998957</v>
      </c>
      <c r="AH259" s="11">
        <v>0</v>
      </c>
      <c r="AI259" s="11">
        <v>3.6222666210004788</v>
      </c>
      <c r="AJ259" s="11">
        <v>2.7941454981630116</v>
      </c>
      <c r="AK259" s="6"/>
      <c r="AL259" t="s">
        <v>1077</v>
      </c>
      <c r="AM259">
        <v>33</v>
      </c>
      <c r="AN259" s="6"/>
      <c r="AO259" s="20">
        <v>5.4225000000000003</v>
      </c>
      <c r="AP259" s="20">
        <v>8.2398000000000007</v>
      </c>
      <c r="AQ259" s="20">
        <v>3.9729000000000001</v>
      </c>
      <c r="AR259" s="20">
        <v>4.8532999999999999</v>
      </c>
      <c r="AS259" s="20">
        <v>6.2676999999999996</v>
      </c>
      <c r="AT259" s="20">
        <v>5.8654999999999999</v>
      </c>
      <c r="AU259" s="20">
        <v>1.3629</v>
      </c>
      <c r="AV259" s="20">
        <v>1.1397999999999999</v>
      </c>
      <c r="AW259" s="6"/>
      <c r="AX259" s="18">
        <v>1.891E-10</v>
      </c>
      <c r="AY259" s="18">
        <v>3.5230000000000002E-13</v>
      </c>
      <c r="AZ259" s="18">
        <v>6.8009999999999994E-5</v>
      </c>
      <c r="BA259" s="18">
        <v>3.3290000000000001E-5</v>
      </c>
      <c r="BB259" s="18">
        <v>1.7210000000000001E-10</v>
      </c>
      <c r="BC259" s="18">
        <v>3.4939999999999999E-7</v>
      </c>
      <c r="BD259" s="18">
        <v>1.5129999999999999E-2</v>
      </c>
      <c r="BE259" s="18">
        <v>6.6820000000000004E-2</v>
      </c>
      <c r="BF259" s="13"/>
      <c r="BG259" t="s">
        <v>1125</v>
      </c>
      <c r="BH259" t="s">
        <v>1126</v>
      </c>
      <c r="BI259" t="s">
        <v>1113</v>
      </c>
      <c r="BJ259" t="s">
        <v>1127</v>
      </c>
      <c r="BK259" t="s">
        <v>1115</v>
      </c>
      <c r="BL259" t="s">
        <v>1116</v>
      </c>
      <c r="BM259" t="s">
        <v>1117</v>
      </c>
      <c r="BN259" s="13"/>
      <c r="BO259" t="s">
        <v>973</v>
      </c>
      <c r="BP259">
        <v>1</v>
      </c>
      <c r="BQ259" t="s">
        <v>973</v>
      </c>
      <c r="BR259" t="s">
        <v>973</v>
      </c>
    </row>
    <row r="260" spans="1:70" ht="27" customHeight="1" x14ac:dyDescent="0.25">
      <c r="A260" t="s">
        <v>114</v>
      </c>
      <c r="B260" t="s">
        <v>61</v>
      </c>
      <c r="C260" t="s">
        <v>32</v>
      </c>
      <c r="D260" s="6"/>
      <c r="E260" s="9" t="str">
        <f>HYPERLINK("http://plants.ensembl.org/Triticum_aestivum/Gene/Summary?g=TRIAE_CS42_1DL_TGACv1_061467_AA0196070","TRIAE_CS42_1DL_TGACv1_061467_AA0196070")</f>
        <v>TRIAE_CS42_1DL_TGACv1_061467_AA0196070</v>
      </c>
      <c r="H260" s="1" t="s">
        <v>1051</v>
      </c>
      <c r="I260" s="1" t="s">
        <v>1051</v>
      </c>
      <c r="J260" s="1" t="s">
        <v>1051</v>
      </c>
      <c r="L260" s="6"/>
      <c r="M260" s="1" t="s">
        <v>973</v>
      </c>
      <c r="N260" s="1" t="s">
        <v>973</v>
      </c>
      <c r="O260" s="1">
        <v>1</v>
      </c>
      <c r="P260" s="1" t="s">
        <v>973</v>
      </c>
      <c r="Q260" s="1" t="s">
        <v>973</v>
      </c>
      <c r="R260" s="1" t="s">
        <v>973</v>
      </c>
      <c r="S260" s="1"/>
      <c r="T260" s="6"/>
      <c r="U260" s="11">
        <v>6.4837040110846154</v>
      </c>
      <c r="V260" s="11">
        <v>7.5947070322809731</v>
      </c>
      <c r="W260" s="11">
        <v>3.9413004105028202</v>
      </c>
      <c r="X260" s="11">
        <v>4.3769872027137104</v>
      </c>
      <c r="Y260" s="11">
        <v>5.2595574821885061</v>
      </c>
      <c r="Z260" s="11">
        <v>5.4234593980947334</v>
      </c>
      <c r="AA260" s="11">
        <v>4.6983870421422518</v>
      </c>
      <c r="AB260" s="11">
        <v>5.2081491518561878</v>
      </c>
      <c r="AC260" s="11">
        <v>0.71319723651297251</v>
      </c>
      <c r="AD260" s="11">
        <v>0</v>
      </c>
      <c r="AE260" s="11">
        <v>0.59024270806259049</v>
      </c>
      <c r="AF260" s="11">
        <v>0</v>
      </c>
      <c r="AG260" s="11">
        <v>0.67265162932838463</v>
      </c>
      <c r="AH260" s="11">
        <v>0</v>
      </c>
      <c r="AI260" s="11">
        <v>3.1350368121384973</v>
      </c>
      <c r="AJ260" s="11">
        <v>2.4387718958517697</v>
      </c>
      <c r="AK260" s="6"/>
      <c r="AL260" t="s">
        <v>1077</v>
      </c>
      <c r="AM260">
        <v>358</v>
      </c>
      <c r="AN260" s="6"/>
      <c r="AO260" s="20">
        <v>6.9080000000000004</v>
      </c>
      <c r="AP260" s="20">
        <v>8.4892000000000003</v>
      </c>
      <c r="AQ260" s="20">
        <v>4.4093</v>
      </c>
      <c r="AR260" s="20">
        <v>6.2572000000000001</v>
      </c>
      <c r="AS260" s="20">
        <v>5.5883000000000003</v>
      </c>
      <c r="AT260" s="20">
        <v>7.2766000000000002</v>
      </c>
      <c r="AU260" s="20">
        <v>1.6396999999999999</v>
      </c>
      <c r="AV260" s="20">
        <v>2.9889000000000001</v>
      </c>
      <c r="AW260" s="6"/>
      <c r="AX260" s="18">
        <v>8.6020000000000001E-13</v>
      </c>
      <c r="AY260" s="18">
        <v>2.6200000000000001E-14</v>
      </c>
      <c r="AZ260" s="18">
        <v>5.8300000000000001E-6</v>
      </c>
      <c r="BA260" s="18">
        <v>3.9220000000000003E-8</v>
      </c>
      <c r="BB260" s="18">
        <v>6.2279999999999997E-12</v>
      </c>
      <c r="BC260" s="18">
        <v>1.2839999999999999E-10</v>
      </c>
      <c r="BD260" s="18">
        <v>3.055E-3</v>
      </c>
      <c r="BE260" s="18">
        <v>5.2549999999999999E-7</v>
      </c>
      <c r="BF260" s="13"/>
      <c r="BG260" t="s">
        <v>1125</v>
      </c>
      <c r="BH260" t="s">
        <v>1126</v>
      </c>
      <c r="BI260" t="s">
        <v>1113</v>
      </c>
      <c r="BJ260" t="s">
        <v>1114</v>
      </c>
      <c r="BK260" t="s">
        <v>1115</v>
      </c>
      <c r="BL260" t="s">
        <v>1116</v>
      </c>
      <c r="BM260" t="s">
        <v>1117</v>
      </c>
      <c r="BN260" s="13"/>
      <c r="BO260" t="s">
        <v>973</v>
      </c>
      <c r="BP260">
        <v>1</v>
      </c>
      <c r="BQ260" t="s">
        <v>973</v>
      </c>
      <c r="BR260" t="s">
        <v>973</v>
      </c>
    </row>
    <row r="261" spans="1:70" x14ac:dyDescent="0.25">
      <c r="A261" t="s">
        <v>115</v>
      </c>
      <c r="B261" t="s">
        <v>58</v>
      </c>
      <c r="C261" t="s">
        <v>32</v>
      </c>
      <c r="D261" s="6"/>
      <c r="H261" s="1" t="s">
        <v>1051</v>
      </c>
      <c r="I261" s="1" t="s">
        <v>1051</v>
      </c>
      <c r="J261" s="1" t="s">
        <v>1051</v>
      </c>
      <c r="L261" s="6"/>
      <c r="M261" s="1" t="s">
        <v>973</v>
      </c>
      <c r="N261" s="1" t="s">
        <v>973</v>
      </c>
      <c r="O261" s="1">
        <v>1</v>
      </c>
      <c r="P261" s="1" t="s">
        <v>973</v>
      </c>
      <c r="Q261" s="1" t="s">
        <v>973</v>
      </c>
      <c r="R261" s="1" t="s">
        <v>973</v>
      </c>
      <c r="S261" s="1"/>
      <c r="T261" s="6"/>
      <c r="U261" s="11">
        <v>7.2155139092896805</v>
      </c>
      <c r="V261" s="11">
        <v>8.029942204474624</v>
      </c>
      <c r="W261" s="11">
        <v>4.9793790817069503</v>
      </c>
      <c r="X261" s="11">
        <v>5.0869861073651803</v>
      </c>
      <c r="Y261" s="11">
        <v>6.3413026529730097</v>
      </c>
      <c r="Z261" s="11">
        <v>5.6877325947593445</v>
      </c>
      <c r="AA261" s="11">
        <v>5.2317139973314353</v>
      </c>
      <c r="AB261" s="11">
        <v>5.3958522715831139</v>
      </c>
      <c r="AC261" s="11">
        <v>0.29003113821181103</v>
      </c>
      <c r="AD261" s="11">
        <v>0</v>
      </c>
      <c r="AE261" s="11">
        <v>0.38508125054108833</v>
      </c>
      <c r="AF261" s="11">
        <v>0.47677914088184625</v>
      </c>
      <c r="AG261" s="11">
        <v>0</v>
      </c>
      <c r="AH261" s="11">
        <v>0</v>
      </c>
      <c r="AI261" s="11">
        <v>2.836469528077084</v>
      </c>
      <c r="AJ261" s="11">
        <v>2.1307881303793161</v>
      </c>
      <c r="AK261" s="6"/>
      <c r="AL261" t="s">
        <v>1077</v>
      </c>
      <c r="AM261">
        <v>711</v>
      </c>
      <c r="AN261" s="6"/>
      <c r="AO261" s="20">
        <v>8.2208000000000006</v>
      </c>
      <c r="AP261" s="20">
        <v>8.8596000000000004</v>
      </c>
      <c r="AQ261" s="20">
        <v>6.0993000000000004</v>
      </c>
      <c r="AR261" s="20">
        <v>5.5785999999999998</v>
      </c>
      <c r="AS261" s="20">
        <v>8.8247999999999998</v>
      </c>
      <c r="AT261" s="20">
        <v>7.5119999999999996</v>
      </c>
      <c r="AU261" s="20">
        <v>2.5367000000000002</v>
      </c>
      <c r="AV261" s="20">
        <v>3.5438999999999998</v>
      </c>
      <c r="AW261" s="6"/>
      <c r="AX261" s="18">
        <v>9.1250000000000002E-14</v>
      </c>
      <c r="AY261" s="18">
        <v>3.6619999999999999E-15</v>
      </c>
      <c r="AZ261" s="18">
        <v>4.7279999999999997E-8</v>
      </c>
      <c r="BA261" s="18">
        <v>1.9939999999999999E-8</v>
      </c>
      <c r="BB261" s="18">
        <v>1.444E-14</v>
      </c>
      <c r="BC261" s="18">
        <v>6.0880000000000001E-11</v>
      </c>
      <c r="BD261" s="18">
        <v>2.8410000000000001E-5</v>
      </c>
      <c r="BE261" s="18">
        <v>7.3199999999999994E-8</v>
      </c>
      <c r="BF261" s="13"/>
      <c r="BG261" t="s">
        <v>1191</v>
      </c>
      <c r="BH261" t="s">
        <v>1144</v>
      </c>
      <c r="BI261" t="s">
        <v>1113</v>
      </c>
      <c r="BJ261" t="s">
        <v>1114</v>
      </c>
      <c r="BK261" t="s">
        <v>1115</v>
      </c>
      <c r="BL261" t="s">
        <v>1116</v>
      </c>
      <c r="BM261" t="s">
        <v>1117</v>
      </c>
      <c r="BN261" s="13"/>
      <c r="BO261" t="s">
        <v>973</v>
      </c>
      <c r="BP261" t="s">
        <v>973</v>
      </c>
      <c r="BQ261" t="s">
        <v>973</v>
      </c>
      <c r="BR261" t="s">
        <v>973</v>
      </c>
    </row>
    <row r="262" spans="1:70" x14ac:dyDescent="0.25">
      <c r="A262" t="s">
        <v>116</v>
      </c>
      <c r="B262" t="s">
        <v>58</v>
      </c>
      <c r="C262" t="s">
        <v>32</v>
      </c>
      <c r="D262" s="6"/>
      <c r="E262" s="9" t="str">
        <f>HYPERLINK("http://plants.ensembl.org/Triticum_aestivum/Gene/Summary?g=TRIAE_CS42_1DL_TGACv1_062736_AA0218970","TRIAE_CS42_1DL_TGACv1_062736_AA0218970")</f>
        <v>TRIAE_CS42_1DL_TGACv1_062736_AA0218970</v>
      </c>
      <c r="H262" s="1" t="s">
        <v>1051</v>
      </c>
      <c r="I262" s="1" t="s">
        <v>1051</v>
      </c>
      <c r="J262" s="1" t="s">
        <v>1051</v>
      </c>
      <c r="L262" s="6"/>
      <c r="M262" s="1" t="s">
        <v>973</v>
      </c>
      <c r="N262" s="1" t="s">
        <v>973</v>
      </c>
      <c r="O262" s="1">
        <v>1</v>
      </c>
      <c r="P262" s="1" t="s">
        <v>973</v>
      </c>
      <c r="Q262" s="1" t="s">
        <v>973</v>
      </c>
      <c r="R262" s="1" t="s">
        <v>973</v>
      </c>
      <c r="S262" s="1"/>
      <c r="T262" s="6"/>
      <c r="U262" s="11">
        <v>7.2771559511773747</v>
      </c>
      <c r="V262" s="11">
        <v>8.2167780254908251</v>
      </c>
      <c r="W262" s="11">
        <v>5.1417120707892607</v>
      </c>
      <c r="X262" s="11">
        <v>4.8493838317909166</v>
      </c>
      <c r="Y262" s="11">
        <v>6.3723090548062746</v>
      </c>
      <c r="Z262" s="11">
        <v>6.0144966392178372</v>
      </c>
      <c r="AA262" s="11">
        <v>5.2340618437525395</v>
      </c>
      <c r="AB262" s="11">
        <v>5.5931366132961653</v>
      </c>
      <c r="AC262" s="11">
        <v>0.87462649424568539</v>
      </c>
      <c r="AD262" s="11">
        <v>0</v>
      </c>
      <c r="AE262" s="11">
        <v>1.0822938359514309</v>
      </c>
      <c r="AF262" s="11">
        <v>0.95855812854797739</v>
      </c>
      <c r="AG262" s="11">
        <v>0.75850217543337306</v>
      </c>
      <c r="AH262" s="11">
        <v>0</v>
      </c>
      <c r="AI262" s="11">
        <v>4.3658231594729848</v>
      </c>
      <c r="AJ262" s="11">
        <v>2.9033275516112353</v>
      </c>
      <c r="AK262" s="6"/>
      <c r="AL262" t="s">
        <v>1077</v>
      </c>
      <c r="AM262">
        <v>394</v>
      </c>
      <c r="AN262" s="6"/>
      <c r="AO262" s="20">
        <v>7.4588999999999999</v>
      </c>
      <c r="AP262" s="20">
        <v>8.9138999999999999</v>
      </c>
      <c r="AQ262" s="20">
        <v>4.7382</v>
      </c>
      <c r="AR262" s="20">
        <v>4.4615</v>
      </c>
      <c r="AS262" s="20">
        <v>6.4009999999999998</v>
      </c>
      <c r="AT262" s="20">
        <v>7.7210999999999999</v>
      </c>
      <c r="AU262" s="20">
        <v>0.87809999999999999</v>
      </c>
      <c r="AV262" s="20">
        <v>2.8033999999999999</v>
      </c>
      <c r="AW262" s="6"/>
      <c r="AX262" s="18">
        <v>1.7589999999999999E-13</v>
      </c>
      <c r="AY262" s="18">
        <v>1.332E-14</v>
      </c>
      <c r="AZ262" s="18">
        <v>1.2620000000000001E-7</v>
      </c>
      <c r="BA262" s="18">
        <v>1.0380000000000001E-6</v>
      </c>
      <c r="BB262" s="18">
        <v>1.955E-13</v>
      </c>
      <c r="BC262" s="18">
        <v>9.8840000000000005E-11</v>
      </c>
      <c r="BD262" s="18">
        <v>0.18970000000000001</v>
      </c>
      <c r="BE262" s="18">
        <v>7.1769999999999999E-5</v>
      </c>
      <c r="BF262" s="13"/>
      <c r="BG262" t="s">
        <v>1191</v>
      </c>
      <c r="BH262" t="s">
        <v>1144</v>
      </c>
      <c r="BI262" t="s">
        <v>1113</v>
      </c>
      <c r="BJ262" t="s">
        <v>1114</v>
      </c>
      <c r="BK262" t="s">
        <v>1115</v>
      </c>
      <c r="BL262" t="s">
        <v>1116</v>
      </c>
      <c r="BM262" t="s">
        <v>1117</v>
      </c>
      <c r="BN262" s="13"/>
      <c r="BO262" t="s">
        <v>973</v>
      </c>
      <c r="BP262" t="s">
        <v>973</v>
      </c>
      <c r="BQ262" t="s">
        <v>973</v>
      </c>
      <c r="BR262" t="s">
        <v>973</v>
      </c>
    </row>
    <row r="263" spans="1:70" x14ac:dyDescent="0.25">
      <c r="A263" t="s">
        <v>151</v>
      </c>
      <c r="B263" t="s">
        <v>152</v>
      </c>
      <c r="C263" t="s">
        <v>32</v>
      </c>
      <c r="D263" s="6"/>
      <c r="E263" s="9" t="str">
        <f>HYPERLINK("http://plants.ensembl.org/Triticum_aestivum/Gene/Summary?g=TRIAE_CS42_2AL_TGACv1_093206_AA0275060","TRIAE_CS42_2AL_TGACv1_093206_AA0275060")</f>
        <v>TRIAE_CS42_2AL_TGACv1_093206_AA0275060</v>
      </c>
      <c r="F263" s="9" t="str">
        <f>HYPERLINK("http://mar2016-plants.ensembl.org/Triticum_aestivum/Gene/Summary?db=core;g=Traes_2AL_6B6086A7C","Traes_2AL_6B6086A7C")</f>
        <v>Traes_2AL_6B6086A7C</v>
      </c>
      <c r="H263" s="8" t="str">
        <f>HYPERLINK("http://plants.ensembl.org/Brachypodium_distachyon/Gene/Summary?g=Bradi5g08380","Bradi5g08380")</f>
        <v>Bradi5g08380</v>
      </c>
      <c r="I263" s="8" t="str">
        <f>HYPERLINK("http://plants.ensembl.org/Arabidopsis_thaliana/Gene/Summary?g=AT5G13330","AT5G13330")</f>
        <v>AT5G13330</v>
      </c>
      <c r="J263" s="9" t="str">
        <f>HYPERLINK("http://plants.ensembl.org/Oryza_sativa/Gene/Summary?db=otherfeatures;g=LOC_Os04g32620","LOC_Os04g32620")</f>
        <v>LOC_Os04g32620</v>
      </c>
      <c r="L263" s="6"/>
      <c r="M263" s="1" t="s">
        <v>973</v>
      </c>
      <c r="N263" s="1" t="s">
        <v>973</v>
      </c>
      <c r="O263" s="1">
        <v>1</v>
      </c>
      <c r="P263" s="1" t="s">
        <v>973</v>
      </c>
      <c r="Q263" s="1" t="s">
        <v>973</v>
      </c>
      <c r="R263" s="1" t="s">
        <v>973</v>
      </c>
      <c r="S263" s="1"/>
      <c r="T263" s="6"/>
      <c r="U263" s="11">
        <v>6.7393031196334166</v>
      </c>
      <c r="V263" s="11">
        <v>8.0387509393603604</v>
      </c>
      <c r="W263" s="11">
        <v>5.5299052574116354</v>
      </c>
      <c r="X263" s="11">
        <v>6.7991935350952115</v>
      </c>
      <c r="Y263" s="11">
        <v>5.3061832383924079</v>
      </c>
      <c r="Z263" s="11">
        <v>5.4324973591880932</v>
      </c>
      <c r="AA263" s="11">
        <v>5.5683909092532309</v>
      </c>
      <c r="AB263" s="11">
        <v>5.6641613839321447</v>
      </c>
      <c r="AC263" s="11">
        <v>3.7790425467256483</v>
      </c>
      <c r="AD263" s="11">
        <v>4.8290004669546924</v>
      </c>
      <c r="AE263" s="11">
        <v>3.8313908575131141</v>
      </c>
      <c r="AF263" s="11">
        <v>4.3132990689329587</v>
      </c>
      <c r="AG263" s="11">
        <v>3.5513068270620622</v>
      </c>
      <c r="AH263" s="11">
        <v>3.269272578045014</v>
      </c>
      <c r="AI263" s="11">
        <v>3.3223944908872927</v>
      </c>
      <c r="AJ263" s="11">
        <v>3.5339536619448673</v>
      </c>
      <c r="AK263" s="6"/>
      <c r="AL263" t="s">
        <v>1077</v>
      </c>
      <c r="AM263">
        <v>53</v>
      </c>
      <c r="AN263" s="6"/>
      <c r="AO263" s="20">
        <v>3.0794999999999999</v>
      </c>
      <c r="AP263" s="20">
        <v>3.0962000000000001</v>
      </c>
      <c r="AQ263" s="20">
        <v>1.7289000000000001</v>
      </c>
      <c r="AR263" s="20">
        <v>2.4622000000000002</v>
      </c>
      <c r="AS263" s="20">
        <v>1.7908999999999999</v>
      </c>
      <c r="AT263" s="20">
        <v>2.2282000000000002</v>
      </c>
      <c r="AU263" s="20">
        <v>2.3138000000000001</v>
      </c>
      <c r="AV263" s="20">
        <v>2.1852</v>
      </c>
      <c r="AW263" s="6"/>
      <c r="AX263" s="18">
        <v>1.2920000000000001E-6</v>
      </c>
      <c r="AY263" s="18">
        <v>1.305E-6</v>
      </c>
      <c r="AZ263" s="18">
        <v>5.6730000000000001E-3</v>
      </c>
      <c r="BA263" s="18">
        <v>5.982E-5</v>
      </c>
      <c r="BB263" s="18">
        <v>4.0629999999999998E-3</v>
      </c>
      <c r="BC263" s="18">
        <v>5.6740000000000002E-4</v>
      </c>
      <c r="BD263" s="18">
        <v>2.745E-4</v>
      </c>
      <c r="BE263" s="18">
        <v>5.4830000000000005E-4</v>
      </c>
      <c r="BF263" s="13"/>
      <c r="BG263" t="s">
        <v>1299</v>
      </c>
      <c r="BH263" t="s">
        <v>1269</v>
      </c>
      <c r="BI263" t="s">
        <v>1113</v>
      </c>
      <c r="BJ263" t="s">
        <v>1114</v>
      </c>
      <c r="BK263" t="s">
        <v>1115</v>
      </c>
      <c r="BL263" t="s">
        <v>1116</v>
      </c>
      <c r="BM263" t="s">
        <v>1117</v>
      </c>
      <c r="BN263" s="13"/>
      <c r="BO263" t="s">
        <v>973</v>
      </c>
      <c r="BP263" t="s">
        <v>973</v>
      </c>
      <c r="BQ263" t="s">
        <v>973</v>
      </c>
      <c r="BR263" t="s">
        <v>973</v>
      </c>
    </row>
    <row r="264" spans="1:70" x14ac:dyDescent="0.25">
      <c r="A264" t="s">
        <v>167</v>
      </c>
      <c r="B264" t="s">
        <v>168</v>
      </c>
      <c r="C264" t="s">
        <v>32</v>
      </c>
      <c r="D264" s="6"/>
      <c r="E264" s="9" t="str">
        <f>HYPERLINK("http://plants.ensembl.org/Triticum_aestivum/Gene/Summary?g=TRIAE_CS42_2AL_TGACv1_093794_AA0286840","TRIAE_CS42_2AL_TGACv1_093794_AA0286840")</f>
        <v>TRIAE_CS42_2AL_TGACv1_093794_AA0286840</v>
      </c>
      <c r="F264" s="9" t="str">
        <f>HYPERLINK("http://mar2016-plants.ensembl.org/Triticum_aestivum/Gene/Summary?db=core;g=Traes_2AL_E5A9615E2","Traes_2AL_E5A9615E2")</f>
        <v>Traes_2AL_E5A9615E2</v>
      </c>
      <c r="H264" s="1" t="s">
        <v>1051</v>
      </c>
      <c r="I264" s="8" t="str">
        <f>HYPERLINK("http://plants.ensembl.org/Arabidopsis_thaliana/Gene/Summary?g=AT5G47230","AT5G47230")</f>
        <v>AT5G47230</v>
      </c>
      <c r="J264" s="1" t="s">
        <v>1051</v>
      </c>
      <c r="L264" s="6"/>
      <c r="M264" s="1" t="s">
        <v>973</v>
      </c>
      <c r="N264" s="1" t="s">
        <v>973</v>
      </c>
      <c r="O264" s="1">
        <v>1</v>
      </c>
      <c r="P264" s="1" t="s">
        <v>973</v>
      </c>
      <c r="Q264" s="1" t="s">
        <v>973</v>
      </c>
      <c r="R264" s="1" t="s">
        <v>973</v>
      </c>
      <c r="S264" s="1"/>
      <c r="T264" s="6"/>
      <c r="U264" s="11">
        <v>9.9684822930503643</v>
      </c>
      <c r="V264" s="11">
        <v>11.486194128262809</v>
      </c>
      <c r="W264" s="11">
        <v>8.8838944723160349</v>
      </c>
      <c r="X264" s="11">
        <v>9.1236605066029917</v>
      </c>
      <c r="Y264" s="11">
        <v>9.7962052360755418</v>
      </c>
      <c r="Z264" s="11">
        <v>8.9944412217098151</v>
      </c>
      <c r="AA264" s="11">
        <v>8.7250964978450636</v>
      </c>
      <c r="AB264" s="11">
        <v>8.3371468716413215</v>
      </c>
      <c r="AC264" s="11">
        <v>3.761324283762046</v>
      </c>
      <c r="AD264" s="11">
        <v>1.1851053625425916</v>
      </c>
      <c r="AE264" s="11">
        <v>0.61795666809593053</v>
      </c>
      <c r="AF264" s="11">
        <v>2.1387817097873749</v>
      </c>
      <c r="AG264" s="11">
        <v>0</v>
      </c>
      <c r="AH264" s="11">
        <v>1.582539946218632</v>
      </c>
      <c r="AI264" s="11">
        <v>0.59508985672191883</v>
      </c>
      <c r="AJ264" s="11">
        <v>0.32238968345021501</v>
      </c>
      <c r="AK264" s="6"/>
      <c r="AL264" t="s">
        <v>1077</v>
      </c>
      <c r="AM264">
        <v>1250</v>
      </c>
      <c r="AN264" s="6"/>
      <c r="AO264" s="20">
        <v>6.2230999999999996</v>
      </c>
      <c r="AP264" s="20">
        <v>10.155799999999999</v>
      </c>
      <c r="AQ264" s="20">
        <v>9.0967000000000002</v>
      </c>
      <c r="AR264" s="20">
        <v>7.0659999999999998</v>
      </c>
      <c r="AS264" s="20">
        <v>11.8644</v>
      </c>
      <c r="AT264" s="20">
        <v>7.6574</v>
      </c>
      <c r="AU264" s="20">
        <v>8.9855999999999998</v>
      </c>
      <c r="AV264" s="20">
        <v>9.1821999999999999</v>
      </c>
      <c r="AW264" s="6"/>
      <c r="AX264" s="18">
        <v>2.9569999999999999E-17</v>
      </c>
      <c r="AY264" s="18">
        <v>1.7299999999999999E-27</v>
      </c>
      <c r="AZ264" s="18">
        <v>6.2470000000000003E-19</v>
      </c>
      <c r="BA264" s="18">
        <v>6.4909999999999998E-19</v>
      </c>
      <c r="BB264" s="18">
        <v>3.9639999999999998E-23</v>
      </c>
      <c r="BC264" s="18">
        <v>2.264E-19</v>
      </c>
      <c r="BD264" s="18">
        <v>1.538E-18</v>
      </c>
      <c r="BE264" s="18">
        <v>3.6589999999999999E-16</v>
      </c>
      <c r="BF264" s="13"/>
      <c r="BG264" t="s">
        <v>1131</v>
      </c>
      <c r="BH264" t="s">
        <v>1126</v>
      </c>
      <c r="BI264" t="s">
        <v>1113</v>
      </c>
      <c r="BJ264" t="s">
        <v>1114</v>
      </c>
      <c r="BK264" t="s">
        <v>1115</v>
      </c>
      <c r="BL264" t="s">
        <v>1116</v>
      </c>
      <c r="BM264" t="s">
        <v>1117</v>
      </c>
      <c r="BN264" s="13"/>
      <c r="BO264" t="s">
        <v>973</v>
      </c>
      <c r="BP264" t="s">
        <v>973</v>
      </c>
      <c r="BQ264" t="s">
        <v>973</v>
      </c>
      <c r="BR264" t="s">
        <v>973</v>
      </c>
    </row>
    <row r="265" spans="1:70" x14ac:dyDescent="0.25">
      <c r="A265" t="s">
        <v>169</v>
      </c>
      <c r="B265" t="s">
        <v>168</v>
      </c>
      <c r="C265" t="s">
        <v>32</v>
      </c>
      <c r="D265" s="6"/>
      <c r="E265" s="9" t="str">
        <f>HYPERLINK("http://plants.ensembl.org/Triticum_aestivum/Gene/Summary?g=TRIAE_CS42_2AL_TGACv1_093146_AA0273260","TRIAE_CS42_2AL_TGACv1_093146_AA0273260")</f>
        <v>TRIAE_CS42_2AL_TGACv1_093146_AA0273260</v>
      </c>
      <c r="F265" s="9" t="str">
        <f>HYPERLINK("http://mar2016-plants.ensembl.org/Triticum_aestivum/Gene/Summary?db=core;g=Traes_2AL_FC6DD1383","Traes_2AL_FC6DD1383")</f>
        <v>Traes_2AL_FC6DD1383</v>
      </c>
      <c r="H265" s="8" t="str">
        <f>HYPERLINK("http://plants.ensembl.org/Brachypodium_distachyon/Gene/Summary?g=Bradi5g17490","Bradi5g17490")</f>
        <v>Bradi5g17490</v>
      </c>
      <c r="I265" s="1" t="s">
        <v>1051</v>
      </c>
      <c r="J265" s="9" t="str">
        <f>HYPERLINK("http://plants.ensembl.org/Oryza_sativa/Gene/Summary?db=otherfeatures;g=LOC_Os04g46250","LOC_Os04g46250")</f>
        <v>LOC_Os04g46250</v>
      </c>
      <c r="L265" s="6"/>
      <c r="M265" s="1" t="s">
        <v>973</v>
      </c>
      <c r="N265" s="1" t="s">
        <v>973</v>
      </c>
      <c r="O265" s="1">
        <v>1</v>
      </c>
      <c r="P265" s="1" t="s">
        <v>973</v>
      </c>
      <c r="Q265" s="1" t="s">
        <v>973</v>
      </c>
      <c r="R265" s="1" t="s">
        <v>973</v>
      </c>
      <c r="S265" s="1"/>
      <c r="T265" s="6"/>
      <c r="U265" s="11">
        <v>8.6977728930398861</v>
      </c>
      <c r="V265" s="11">
        <v>10.231034850575732</v>
      </c>
      <c r="W265" s="11">
        <v>7.503175915225726</v>
      </c>
      <c r="X265" s="11">
        <v>8.2463080021905046</v>
      </c>
      <c r="Y265" s="11">
        <v>8.0062548187115254</v>
      </c>
      <c r="Z265" s="11">
        <v>7.7314749468166175</v>
      </c>
      <c r="AA265" s="11">
        <v>7.0071326961485676</v>
      </c>
      <c r="AB265" s="11">
        <v>7.4454508312827663</v>
      </c>
      <c r="AC265" s="11">
        <v>1.8076159575434572</v>
      </c>
      <c r="AD265" s="11">
        <v>0.70327792398137323</v>
      </c>
      <c r="AE265" s="11">
        <v>0.38508125054108833</v>
      </c>
      <c r="AF265" s="11">
        <v>0.95855812854797739</v>
      </c>
      <c r="AG265" s="11">
        <v>0.54220851432284045</v>
      </c>
      <c r="AH265" s="11">
        <v>0.41243830823088656</v>
      </c>
      <c r="AI265" s="11">
        <v>0.32799388035946819</v>
      </c>
      <c r="AJ265" s="11">
        <v>0.58576377541039526</v>
      </c>
      <c r="AK265" s="6"/>
      <c r="AL265" t="s">
        <v>1077</v>
      </c>
      <c r="AM265">
        <v>2385</v>
      </c>
      <c r="AN265" s="6"/>
      <c r="AO265" s="20">
        <v>7.4619999999999997</v>
      </c>
      <c r="AP265" s="20">
        <v>9.7199000000000009</v>
      </c>
      <c r="AQ265" s="20">
        <v>8.4747000000000003</v>
      </c>
      <c r="AR265" s="20">
        <v>7.8385999999999996</v>
      </c>
      <c r="AS265" s="20">
        <v>8.8879999999999999</v>
      </c>
      <c r="AT265" s="20">
        <v>8.5571999999999999</v>
      </c>
      <c r="AU265" s="20">
        <v>8.0414999999999992</v>
      </c>
      <c r="AV265" s="20">
        <v>7.8728999999999996</v>
      </c>
      <c r="AW265" s="6"/>
      <c r="AX265" s="18">
        <v>5.186E-22</v>
      </c>
      <c r="AY265" s="18">
        <v>1.035E-24</v>
      </c>
      <c r="AZ265" s="18">
        <v>1.702E-14</v>
      </c>
      <c r="BA265" s="18">
        <v>1.034E-19</v>
      </c>
      <c r="BB265" s="18">
        <v>2.454E-20</v>
      </c>
      <c r="BC265" s="18">
        <v>1.265E-14</v>
      </c>
      <c r="BD265" s="18">
        <v>3.721E-13</v>
      </c>
      <c r="BE265" s="18">
        <v>1.058E-15</v>
      </c>
      <c r="BF265" s="13"/>
      <c r="BG265" t="s">
        <v>1131</v>
      </c>
      <c r="BH265" t="s">
        <v>1186</v>
      </c>
      <c r="BI265" t="s">
        <v>1113</v>
      </c>
      <c r="BJ265" t="s">
        <v>1114</v>
      </c>
      <c r="BK265" t="s">
        <v>1115</v>
      </c>
      <c r="BL265" t="s">
        <v>1116</v>
      </c>
      <c r="BM265" t="s">
        <v>1117</v>
      </c>
      <c r="BN265" s="13"/>
      <c r="BO265" t="s">
        <v>973</v>
      </c>
      <c r="BP265" t="s">
        <v>973</v>
      </c>
      <c r="BQ265" t="s">
        <v>973</v>
      </c>
      <c r="BR265" t="s">
        <v>973</v>
      </c>
    </row>
    <row r="266" spans="1:70" x14ac:dyDescent="0.25">
      <c r="A266" t="s">
        <v>183</v>
      </c>
      <c r="B266" t="s">
        <v>184</v>
      </c>
      <c r="C266" t="s">
        <v>32</v>
      </c>
      <c r="D266" s="6"/>
      <c r="H266" s="8" t="str">
        <f>HYPERLINK("http://plants.ensembl.org/Brachypodium_distachyon/Gene/Summary?g=Bradi5g24110","Bradi5g24110")</f>
        <v>Bradi5g24110</v>
      </c>
      <c r="I266" s="8" t="str">
        <f>HYPERLINK("http://plants.ensembl.org/Arabidopsis_thaliana/Gene/Summary?g=AT2G23340","AT2G23340")</f>
        <v>AT2G23340</v>
      </c>
      <c r="J266" s="9" t="str">
        <f>HYPERLINK("http://plants.ensembl.org/Oryza_sativa/Gene/Summary?db=otherfeatures;g=LOC_Os04g55520","LOC_Os04g55520")</f>
        <v>LOC_Os04g55520</v>
      </c>
      <c r="L266" s="6"/>
      <c r="M266" s="1" t="s">
        <v>973</v>
      </c>
      <c r="N266" s="1" t="s">
        <v>973</v>
      </c>
      <c r="O266" s="1">
        <v>1</v>
      </c>
      <c r="P266" s="1" t="s">
        <v>973</v>
      </c>
      <c r="Q266" s="1" t="s">
        <v>973</v>
      </c>
      <c r="R266" s="1" t="s">
        <v>973</v>
      </c>
      <c r="S266" s="1"/>
      <c r="T266" s="6"/>
      <c r="U266" s="11">
        <v>6.8421873107104352</v>
      </c>
      <c r="V266" s="11">
        <v>7.5572242217893768</v>
      </c>
      <c r="W266" s="11">
        <v>5.392885229075234</v>
      </c>
      <c r="X266" s="11">
        <v>6.0428938110357304</v>
      </c>
      <c r="Y266" s="11">
        <v>6.5015224772338964</v>
      </c>
      <c r="Z266" s="11">
        <v>6.0726732175497098</v>
      </c>
      <c r="AA266" s="11">
        <v>6.2810923640469793</v>
      </c>
      <c r="AB266" s="11">
        <v>4.9618594368443301</v>
      </c>
      <c r="AC266" s="11">
        <v>4.7524542430313756</v>
      </c>
      <c r="AD266" s="11">
        <v>4.941643151589405</v>
      </c>
      <c r="AE266" s="11">
        <v>4.0126074070506901</v>
      </c>
      <c r="AF266" s="11">
        <v>4.2488687546775816</v>
      </c>
      <c r="AG266" s="11">
        <v>4.590392432010221</v>
      </c>
      <c r="AH266" s="11">
        <v>3.7215768171872292</v>
      </c>
      <c r="AI266" s="11">
        <v>4.2050353402375444</v>
      </c>
      <c r="AJ266" s="11">
        <v>3.6184579411069935</v>
      </c>
      <c r="AK266" s="6"/>
      <c r="AL266" t="s">
        <v>1077</v>
      </c>
      <c r="AM266">
        <v>143</v>
      </c>
      <c r="AN266" s="6"/>
      <c r="AO266" s="20">
        <v>2.1560000000000001</v>
      </c>
      <c r="AP266" s="20">
        <v>2.5882000000000001</v>
      </c>
      <c r="AQ266" s="20">
        <v>1.4180999999999999</v>
      </c>
      <c r="AR266" s="20">
        <v>1.7847999999999999</v>
      </c>
      <c r="AS266" s="20">
        <v>1.9278</v>
      </c>
      <c r="AT266" s="20">
        <v>2.4076</v>
      </c>
      <c r="AU266" s="20">
        <v>2.1078000000000001</v>
      </c>
      <c r="AV266" s="20">
        <v>1.3916999999999999</v>
      </c>
      <c r="AW266" s="6"/>
      <c r="AX266" s="18">
        <v>7.6149999999999994E-5</v>
      </c>
      <c r="AY266" s="18">
        <v>6.0059999999999998E-6</v>
      </c>
      <c r="AZ266" s="18">
        <v>1.027E-2</v>
      </c>
      <c r="BA266" s="18">
        <v>1.0970000000000001E-3</v>
      </c>
      <c r="BB266" s="18">
        <v>2.767E-4</v>
      </c>
      <c r="BC266" s="18">
        <v>1.7410000000000001E-5</v>
      </c>
      <c r="BD266" s="18">
        <v>9.9710000000000006E-5</v>
      </c>
      <c r="BE266" s="18">
        <v>1.435E-2</v>
      </c>
      <c r="BF266" s="13"/>
      <c r="BG266" t="s">
        <v>1191</v>
      </c>
      <c r="BH266" t="s">
        <v>1211</v>
      </c>
      <c r="BI266" t="s">
        <v>1113</v>
      </c>
      <c r="BJ266" t="s">
        <v>1114</v>
      </c>
      <c r="BK266" t="s">
        <v>1115</v>
      </c>
      <c r="BL266" t="s">
        <v>1116</v>
      </c>
      <c r="BM266" t="s">
        <v>1117</v>
      </c>
      <c r="BN266" s="13"/>
      <c r="BO266" t="s">
        <v>973</v>
      </c>
      <c r="BP266" t="s">
        <v>973</v>
      </c>
      <c r="BQ266" t="s">
        <v>973</v>
      </c>
      <c r="BR266" t="s">
        <v>973</v>
      </c>
    </row>
    <row r="267" spans="1:70" x14ac:dyDescent="0.25">
      <c r="A267" t="s">
        <v>211</v>
      </c>
      <c r="B267" t="s">
        <v>152</v>
      </c>
      <c r="C267" t="s">
        <v>32</v>
      </c>
      <c r="D267" s="6"/>
      <c r="E267" s="9" t="str">
        <f>HYPERLINK("http://plants.ensembl.org/Triticum_aestivum/Gene/Summary?g=TRIAE_CS42_2BL_TGACv1_129543_AA0387900","TRIAE_CS42_2BL_TGACv1_129543_AA0387900")</f>
        <v>TRIAE_CS42_2BL_TGACv1_129543_AA0387900</v>
      </c>
      <c r="F267" s="9" t="str">
        <f>HYPERLINK("http://mar2016-plants.ensembl.org/Triticum_aestivum/Gene/Summary?db=core;g=Traes_2BL_E5F50498D","Traes_2BL_E5F50498D")</f>
        <v>Traes_2BL_E5F50498D</v>
      </c>
      <c r="H267" s="8" t="str">
        <f>HYPERLINK("http://plants.ensembl.org/Brachypodium_distachyon/Gene/Summary?g=Bradi5g08380","Bradi5g08380")</f>
        <v>Bradi5g08380</v>
      </c>
      <c r="I267" s="8" t="str">
        <f>HYPERLINK("http://plants.ensembl.org/Arabidopsis_thaliana/Gene/Summary?g=AT5G13330","AT5G13330")</f>
        <v>AT5G13330</v>
      </c>
      <c r="J267" s="9" t="str">
        <f>HYPERLINK("http://plants.ensembl.org/Oryza_sativa/Gene/Summary?db=otherfeatures;g=LOC_Os04g32620","LOC_Os04g32620")</f>
        <v>LOC_Os04g32620</v>
      </c>
      <c r="L267" s="6"/>
      <c r="M267" s="1" t="s">
        <v>973</v>
      </c>
      <c r="N267" s="1" t="s">
        <v>973</v>
      </c>
      <c r="O267" s="1">
        <v>1</v>
      </c>
      <c r="P267" s="1" t="s">
        <v>973</v>
      </c>
      <c r="Q267" s="1" t="s">
        <v>973</v>
      </c>
      <c r="R267" s="1" t="s">
        <v>973</v>
      </c>
      <c r="S267" s="1"/>
      <c r="T267" s="6"/>
      <c r="U267" s="11">
        <v>6.6217202788488931</v>
      </c>
      <c r="V267" s="11">
        <v>7.2674758717964929</v>
      </c>
      <c r="W267" s="11">
        <v>5.6976867245160427</v>
      </c>
      <c r="X267" s="11">
        <v>6.4586483067860385</v>
      </c>
      <c r="Y267" s="11">
        <v>5.1975233868137902</v>
      </c>
      <c r="Z267" s="11">
        <v>5.2256515467028803</v>
      </c>
      <c r="AA267" s="11">
        <v>5.8339476027929411</v>
      </c>
      <c r="AB267" s="11">
        <v>5.4705281885063295</v>
      </c>
      <c r="AC267" s="11">
        <v>3.6334660857207393</v>
      </c>
      <c r="AD267" s="11">
        <v>5.3065939981040469</v>
      </c>
      <c r="AE267" s="11">
        <v>4.2232912494436841</v>
      </c>
      <c r="AF267" s="11">
        <v>4.597950235830667</v>
      </c>
      <c r="AG267" s="11">
        <v>3.752862746735639</v>
      </c>
      <c r="AH267" s="11">
        <v>3.8873270490222294</v>
      </c>
      <c r="AI267" s="11">
        <v>3.6326559846298916</v>
      </c>
      <c r="AJ267" s="11">
        <v>3.618305227934854</v>
      </c>
      <c r="AK267" s="6"/>
      <c r="AL267" t="s">
        <v>1077</v>
      </c>
      <c r="AM267">
        <v>15</v>
      </c>
      <c r="AN267" s="6"/>
      <c r="AO267" s="20">
        <v>3.1288999999999998</v>
      </c>
      <c r="AP267" s="20">
        <v>2.0154000000000001</v>
      </c>
      <c r="AQ267" s="20">
        <v>1.4932000000000001</v>
      </c>
      <c r="AR267" s="20">
        <v>1.8384</v>
      </c>
      <c r="AS267" s="20">
        <v>1.4664999999999999</v>
      </c>
      <c r="AT267" s="20">
        <v>1.3742000000000001</v>
      </c>
      <c r="AU267" s="20">
        <v>2.2513999999999998</v>
      </c>
      <c r="AV267" s="20">
        <v>1.8943000000000001</v>
      </c>
      <c r="AW267" s="6"/>
      <c r="AX267" s="18">
        <v>4.0729999999999998E-6</v>
      </c>
      <c r="AY267" s="18">
        <v>2.9610000000000001E-3</v>
      </c>
      <c r="AZ267" s="18">
        <v>2.283E-2</v>
      </c>
      <c r="BA267" s="18">
        <v>4.6909999999999999E-3</v>
      </c>
      <c r="BB267" s="18">
        <v>2.6249999999999999E-2</v>
      </c>
      <c r="BC267" s="18">
        <v>3.9719999999999998E-2</v>
      </c>
      <c r="BD267" s="18">
        <v>7.0929999999999995E-4</v>
      </c>
      <c r="BE267" s="18">
        <v>4.6769999999999997E-3</v>
      </c>
      <c r="BF267" s="13"/>
      <c r="BG267" t="s">
        <v>1125</v>
      </c>
      <c r="BH267" t="s">
        <v>1269</v>
      </c>
      <c r="BI267" t="s">
        <v>1113</v>
      </c>
      <c r="BJ267" t="s">
        <v>1114</v>
      </c>
      <c r="BK267" t="s">
        <v>1115</v>
      </c>
      <c r="BL267" t="s">
        <v>1116</v>
      </c>
      <c r="BM267" t="s">
        <v>1117</v>
      </c>
      <c r="BN267" s="13"/>
      <c r="BO267" t="s">
        <v>973</v>
      </c>
      <c r="BP267" t="s">
        <v>973</v>
      </c>
      <c r="BQ267" t="s">
        <v>973</v>
      </c>
      <c r="BR267" t="s">
        <v>973</v>
      </c>
    </row>
    <row r="268" spans="1:70" x14ac:dyDescent="0.25">
      <c r="A268" t="s">
        <v>226</v>
      </c>
      <c r="B268" t="s">
        <v>168</v>
      </c>
      <c r="C268" t="s">
        <v>32</v>
      </c>
      <c r="D268" s="6"/>
      <c r="E268" s="9" t="str">
        <f>HYPERLINK("http://plants.ensembl.org/Triticum_aestivum/Gene/Summary?g=TRIAE_CS42_2BL_TGACv1_132723_AA0439440","TRIAE_CS42_2BL_TGACv1_132723_AA0439440")</f>
        <v>TRIAE_CS42_2BL_TGACv1_132723_AA0439440</v>
      </c>
      <c r="F268" s="9" t="str">
        <f>HYPERLINK("http://mar2016-plants.ensembl.org/Triticum_aestivum/Gene/Summary?db=core;g=Traes_2BL_859E9B1DA","Traes_2BL_859E9B1DA")</f>
        <v>Traes_2BL_859E9B1DA</v>
      </c>
      <c r="H268" s="1" t="s">
        <v>1051</v>
      </c>
      <c r="I268" s="1" t="s">
        <v>1051</v>
      </c>
      <c r="J268" s="1" t="s">
        <v>1051</v>
      </c>
      <c r="L268" s="6"/>
      <c r="M268" s="1" t="s">
        <v>973</v>
      </c>
      <c r="N268" s="1" t="s">
        <v>973</v>
      </c>
      <c r="O268" s="1">
        <v>1</v>
      </c>
      <c r="P268" s="1" t="s">
        <v>973</v>
      </c>
      <c r="Q268" s="1" t="s">
        <v>973</v>
      </c>
      <c r="R268" s="1" t="s">
        <v>973</v>
      </c>
      <c r="S268" s="1"/>
      <c r="T268" s="6"/>
      <c r="U268" s="11">
        <v>8.7859059943546995</v>
      </c>
      <c r="V268" s="11">
        <v>10.205954042093662</v>
      </c>
      <c r="W268" s="11">
        <v>8.0341981042069754</v>
      </c>
      <c r="X268" s="11">
        <v>8.5584566845268082</v>
      </c>
      <c r="Y268" s="11">
        <v>8.2990602299925289</v>
      </c>
      <c r="Z268" s="11">
        <v>7.8208010171232898</v>
      </c>
      <c r="AA268" s="11">
        <v>7.3621124437207026</v>
      </c>
      <c r="AB268" s="11">
        <v>7.4265046247493238</v>
      </c>
      <c r="AC268" s="11">
        <v>2.9389193218175591</v>
      </c>
      <c r="AD268" s="11">
        <v>0</v>
      </c>
      <c r="AE268" s="11">
        <v>1.7529198210128052</v>
      </c>
      <c r="AF268" s="11">
        <v>1.6661354556025578</v>
      </c>
      <c r="AG268" s="11">
        <v>0.61324874380026617</v>
      </c>
      <c r="AH268" s="11">
        <v>1.3819108960388249</v>
      </c>
      <c r="AI268" s="11">
        <v>0.83239046835287045</v>
      </c>
      <c r="AJ268" s="11">
        <v>0.33460641143068703</v>
      </c>
      <c r="AK268" s="6"/>
      <c r="AL268" t="s">
        <v>1077</v>
      </c>
      <c r="AM268">
        <v>1245</v>
      </c>
      <c r="AN268" s="6"/>
      <c r="AO268" s="20">
        <v>5.9588999999999999</v>
      </c>
      <c r="AP268" s="20">
        <v>10.6257</v>
      </c>
      <c r="AQ268" s="20">
        <v>6.5674999999999999</v>
      </c>
      <c r="AR268" s="20">
        <v>7.0613000000000001</v>
      </c>
      <c r="AS268" s="20">
        <v>8.6503999999999994</v>
      </c>
      <c r="AT268" s="20">
        <v>6.7214</v>
      </c>
      <c r="AU268" s="20">
        <v>7.2183999999999999</v>
      </c>
      <c r="AV268" s="20">
        <v>8.2903000000000002</v>
      </c>
      <c r="AW268" s="6"/>
      <c r="AX268" s="18">
        <v>7.7310000000000001E-13</v>
      </c>
      <c r="AY268" s="18">
        <v>4.2990000000000002E-19</v>
      </c>
      <c r="AZ268" s="18">
        <v>1.407E-13</v>
      </c>
      <c r="BA268" s="18">
        <v>2.9979999999999998E-15</v>
      </c>
      <c r="BB268" s="18">
        <v>8.8139999999999995E-18</v>
      </c>
      <c r="BC268" s="18">
        <v>5.1560000000000004E-13</v>
      </c>
      <c r="BD268" s="18">
        <v>9.6150000000000009E-13</v>
      </c>
      <c r="BE268" s="18">
        <v>1.529E-12</v>
      </c>
      <c r="BF268" s="13"/>
      <c r="BG268" t="s">
        <v>1131</v>
      </c>
      <c r="BH268" t="s">
        <v>1269</v>
      </c>
      <c r="BI268" t="s">
        <v>1113</v>
      </c>
      <c r="BJ268" t="s">
        <v>1114</v>
      </c>
      <c r="BK268" t="s">
        <v>1115</v>
      </c>
      <c r="BL268" t="s">
        <v>1116</v>
      </c>
      <c r="BM268" t="s">
        <v>1117</v>
      </c>
      <c r="BN268" s="13"/>
      <c r="BO268" t="s">
        <v>973</v>
      </c>
      <c r="BP268" t="s">
        <v>973</v>
      </c>
      <c r="BQ268" t="s">
        <v>973</v>
      </c>
      <c r="BR268" t="s">
        <v>973</v>
      </c>
    </row>
    <row r="269" spans="1:70" x14ac:dyDescent="0.25">
      <c r="A269" t="s">
        <v>227</v>
      </c>
      <c r="B269" t="s">
        <v>168</v>
      </c>
      <c r="C269" t="s">
        <v>32</v>
      </c>
      <c r="D269" s="6"/>
      <c r="E269" s="9" t="str">
        <f>HYPERLINK("http://plants.ensembl.org/Triticum_aestivum/Gene/Summary?g=TRIAE_CS42_2BL_TGACv1_130087_AA0403510","TRIAE_CS42_2BL_TGACv1_130087_AA0403510")</f>
        <v>TRIAE_CS42_2BL_TGACv1_130087_AA0403510</v>
      </c>
      <c r="H269" s="8" t="str">
        <f>HYPERLINK("http://plants.ensembl.org/Brachypodium_distachyon/Gene/Summary?g=Bradi5g17490","Bradi5g17490")</f>
        <v>Bradi5g17490</v>
      </c>
      <c r="I269" s="8" t="str">
        <f>HYPERLINK("http://plants.ensembl.org/Arabidopsis_thaliana/Gene/Summary?g=AT5G47230","AT5G47230")</f>
        <v>AT5G47230</v>
      </c>
      <c r="J269" s="9" t="str">
        <f>HYPERLINK("http://plants.ensembl.org/Oryza_sativa/Gene/Summary?db=otherfeatures;g=LOC_Os04g46250","LOC_Os04g46250")</f>
        <v>LOC_Os04g46250</v>
      </c>
      <c r="L269" s="6"/>
      <c r="M269" s="1" t="s">
        <v>973</v>
      </c>
      <c r="N269" s="1" t="s">
        <v>973</v>
      </c>
      <c r="O269" s="1">
        <v>1</v>
      </c>
      <c r="P269" s="1" t="s">
        <v>973</v>
      </c>
      <c r="Q269" s="1" t="s">
        <v>973</v>
      </c>
      <c r="R269" s="1" t="s">
        <v>973</v>
      </c>
      <c r="S269" s="1"/>
      <c r="T269" s="6"/>
      <c r="U269" s="11">
        <v>5.51196765859543</v>
      </c>
      <c r="V269" s="11">
        <v>6.8732464077086517</v>
      </c>
      <c r="W269" s="11">
        <v>4.7915970429491734</v>
      </c>
      <c r="X269" s="11">
        <v>5.3571543289855823</v>
      </c>
      <c r="Y269" s="11">
        <v>5.4046034375950578</v>
      </c>
      <c r="Z269" s="11">
        <v>5.0962253016218648</v>
      </c>
      <c r="AA269" s="11">
        <v>3.910492832288714</v>
      </c>
      <c r="AB269" s="11">
        <v>4.4597507249737607</v>
      </c>
      <c r="AC269" s="11">
        <v>0.50260217423209885</v>
      </c>
      <c r="AD269" s="11">
        <v>1.1851053625425916</v>
      </c>
      <c r="AE269" s="11">
        <v>0.59024270806259049</v>
      </c>
      <c r="AF269" s="11">
        <v>0.47677914088184625</v>
      </c>
      <c r="AG269" s="11">
        <v>0.82670778931357136</v>
      </c>
      <c r="AH269" s="11">
        <v>0</v>
      </c>
      <c r="AI269" s="11">
        <v>0</v>
      </c>
      <c r="AJ269" s="11">
        <v>0</v>
      </c>
      <c r="AK269" s="6"/>
      <c r="AL269" t="s">
        <v>1077</v>
      </c>
      <c r="AM269">
        <v>1310</v>
      </c>
      <c r="AN269" s="6"/>
      <c r="AO269" s="20">
        <v>6.6847000000000003</v>
      </c>
      <c r="AP269" s="20">
        <v>5.8240999999999996</v>
      </c>
      <c r="AQ269" s="20">
        <v>5.3543000000000003</v>
      </c>
      <c r="AR269" s="20">
        <v>5.9276999999999997</v>
      </c>
      <c r="AS269" s="20">
        <v>5.4795999999999996</v>
      </c>
      <c r="AT269" s="20">
        <v>7.0331000000000001</v>
      </c>
      <c r="AU269" s="20">
        <v>5.9836999999999998</v>
      </c>
      <c r="AV269" s="20">
        <v>6.5683999999999996</v>
      </c>
      <c r="AW269" s="6"/>
      <c r="AX269" s="18">
        <v>4.109E-10</v>
      </c>
      <c r="AY269" s="18">
        <v>3.0939999999999999E-14</v>
      </c>
      <c r="AZ269" s="18">
        <v>1.1549999999999999E-8</v>
      </c>
      <c r="BA269" s="18">
        <v>2.9400000000000002E-10</v>
      </c>
      <c r="BB269" s="18">
        <v>2.0780000000000001E-14</v>
      </c>
      <c r="BC269" s="18">
        <v>1.8199999999999999E-10</v>
      </c>
      <c r="BD269" s="18">
        <v>6.9539999999999999E-8</v>
      </c>
      <c r="BE269" s="18">
        <v>3.2299999999999998E-9</v>
      </c>
      <c r="BF269" s="13"/>
      <c r="BG269" t="s">
        <v>1125</v>
      </c>
      <c r="BH269" t="s">
        <v>1126</v>
      </c>
      <c r="BI269" t="s">
        <v>1113</v>
      </c>
      <c r="BJ269" t="s">
        <v>1127</v>
      </c>
      <c r="BK269" t="s">
        <v>1115</v>
      </c>
      <c r="BL269" t="s">
        <v>1116</v>
      </c>
      <c r="BM269" t="s">
        <v>1117</v>
      </c>
      <c r="BN269" s="13"/>
      <c r="BO269" t="s">
        <v>973</v>
      </c>
      <c r="BP269">
        <v>1</v>
      </c>
      <c r="BQ269" t="s">
        <v>973</v>
      </c>
      <c r="BR269" t="s">
        <v>973</v>
      </c>
    </row>
    <row r="270" spans="1:70" x14ac:dyDescent="0.25">
      <c r="A270" t="s">
        <v>228</v>
      </c>
      <c r="B270" t="s">
        <v>229</v>
      </c>
      <c r="C270" t="s">
        <v>32</v>
      </c>
      <c r="D270" s="6"/>
      <c r="E270" s="9" t="str">
        <f>HYPERLINK("http://plants.ensembl.org/Triticum_aestivum/Gene/Summary?g=TRIAE_CS42_U_TGACv1_641158_AA2086950","TRIAE_CS42_U_TGACv1_641158_AA2086950")</f>
        <v>TRIAE_CS42_U_TGACv1_641158_AA2086950</v>
      </c>
      <c r="F270" s="9" t="str">
        <f>HYPERLINK("http://mar2016-plants.ensembl.org/Triticum_aestivum/Gene/Summary?db=core;g=Traes_2BL_CF47A74CC","Traes_2BL_CF47A74CC")</f>
        <v>Traes_2BL_CF47A74CC</v>
      </c>
      <c r="H270" s="8" t="str">
        <f>HYPERLINK("http://plants.ensembl.org/Brachypodium_distachyon/Gene/Summary?g=Bradi5g17480","Bradi5g17480")</f>
        <v>Bradi5g17480</v>
      </c>
      <c r="I270" s="8" t="str">
        <f>HYPERLINK("http://plants.ensembl.org/Arabidopsis_thaliana/Gene/Summary?g=AT4G17500","AT4G17500")</f>
        <v>AT4G17500</v>
      </c>
      <c r="J270" s="9" t="str">
        <f>HYPERLINK("http://plants.ensembl.org/Oryza_sativa/Gene/Summary?db=otherfeatures;g=LOC_Os04g46220","LOC_Os04g46220")</f>
        <v>LOC_Os04g46220</v>
      </c>
      <c r="L270" s="6"/>
      <c r="M270" s="1" t="s">
        <v>973</v>
      </c>
      <c r="N270" s="1" t="s">
        <v>973</v>
      </c>
      <c r="O270" s="1">
        <v>1</v>
      </c>
      <c r="P270" s="1" t="s">
        <v>973</v>
      </c>
      <c r="Q270" s="1" t="s">
        <v>973</v>
      </c>
      <c r="R270" s="1" t="s">
        <v>973</v>
      </c>
      <c r="S270" s="1"/>
      <c r="T270" s="6"/>
      <c r="U270" s="11">
        <v>7.9318187563465434</v>
      </c>
      <c r="V270" s="11">
        <v>8.0836222157643913</v>
      </c>
      <c r="W270" s="11">
        <v>7.0090388137095152</v>
      </c>
      <c r="X270" s="11">
        <v>6.8998177060499124</v>
      </c>
      <c r="Y270" s="11">
        <v>6.8253166923300954</v>
      </c>
      <c r="Z270" s="11">
        <v>6.5792063011636532</v>
      </c>
      <c r="AA270" s="11">
        <v>7.6291501590471533</v>
      </c>
      <c r="AB270" s="11">
        <v>6.3020582259379649</v>
      </c>
      <c r="AC270" s="11">
        <v>4.7766321775131244</v>
      </c>
      <c r="AD270" s="11">
        <v>5.0763168014374251</v>
      </c>
      <c r="AE270" s="11">
        <v>5.0584492705370101</v>
      </c>
      <c r="AF270" s="11">
        <v>4.4961299519888058</v>
      </c>
      <c r="AG270" s="11">
        <v>5.205069236340055</v>
      </c>
      <c r="AH270" s="11">
        <v>4.2341947229538128</v>
      </c>
      <c r="AI270" s="11">
        <v>4.6629308432247152</v>
      </c>
      <c r="AJ270" s="11">
        <v>4.0120084105211964</v>
      </c>
      <c r="AK270" s="6"/>
      <c r="AL270" t="s">
        <v>1077</v>
      </c>
      <c r="AM270">
        <v>668</v>
      </c>
      <c r="AN270" s="6"/>
      <c r="AO270" s="20">
        <v>3.1941999999999999</v>
      </c>
      <c r="AP270" s="20">
        <v>2.9761000000000002</v>
      </c>
      <c r="AQ270" s="20">
        <v>1.9480999999999999</v>
      </c>
      <c r="AR270" s="20">
        <v>2.3683999999999998</v>
      </c>
      <c r="AS270" s="20">
        <v>1.6121000000000001</v>
      </c>
      <c r="AT270" s="20">
        <v>2.3622000000000001</v>
      </c>
      <c r="AU270" s="20">
        <v>2.9615999999999998</v>
      </c>
      <c r="AV270" s="20">
        <v>2.3149999999999999</v>
      </c>
      <c r="AW270" s="6"/>
      <c r="AX270" s="18">
        <v>1.5209999999999999E-7</v>
      </c>
      <c r="AY270" s="18">
        <v>2.7499999999999999E-6</v>
      </c>
      <c r="AZ270" s="18">
        <v>1.1709999999999999E-3</v>
      </c>
      <c r="BA270" s="18">
        <v>1.005E-4</v>
      </c>
      <c r="BB270" s="18">
        <v>6.8539999999999998E-3</v>
      </c>
      <c r="BC270" s="18">
        <v>1.2129999999999999E-4</v>
      </c>
      <c r="BD270" s="18">
        <v>8.8150000000000005E-7</v>
      </c>
      <c r="BE270" s="18">
        <v>1.738E-4</v>
      </c>
      <c r="BF270" s="13"/>
      <c r="BG270" t="s">
        <v>1201</v>
      </c>
      <c r="BH270" t="s">
        <v>1155</v>
      </c>
      <c r="BI270" t="s">
        <v>1113</v>
      </c>
      <c r="BJ270" t="s">
        <v>1114</v>
      </c>
      <c r="BK270" t="s">
        <v>1115</v>
      </c>
      <c r="BL270" t="s">
        <v>1116</v>
      </c>
      <c r="BM270" t="s">
        <v>1117</v>
      </c>
      <c r="BN270" s="13"/>
      <c r="BO270" t="s">
        <v>973</v>
      </c>
      <c r="BP270" t="s">
        <v>973</v>
      </c>
      <c r="BQ270" t="s">
        <v>973</v>
      </c>
      <c r="BR270" t="s">
        <v>973</v>
      </c>
    </row>
    <row r="271" spans="1:70" x14ac:dyDescent="0.25">
      <c r="A271" t="s">
        <v>230</v>
      </c>
      <c r="B271" t="s">
        <v>231</v>
      </c>
      <c r="C271" t="s">
        <v>32</v>
      </c>
      <c r="D271" s="6"/>
      <c r="E271" s="9" t="str">
        <f>HYPERLINK("http://plants.ensembl.org/Triticum_aestivum/Gene/Summary?g=TRIAE_CS42_2BL_TGACv1_129484_AA0385640","TRIAE_CS42_2BL_TGACv1_129484_AA0385640")</f>
        <v>TRIAE_CS42_2BL_TGACv1_129484_AA0385640</v>
      </c>
      <c r="H271" s="8" t="str">
        <f>HYPERLINK("http://plants.ensembl.org/Brachypodium_distachyon/Gene/Summary?g=Bradi5g21250","Bradi5g21250")</f>
        <v>Bradi5g21250</v>
      </c>
      <c r="I271" s="1" t="s">
        <v>1051</v>
      </c>
      <c r="J271" s="9" t="str">
        <f>HYPERLINK("http://plants.ensembl.org/Oryza_sativa/Gene/Summary?db=otherfeatures;g=LOC_Os04g52090","LOC_Os04g52090")</f>
        <v>LOC_Os04g52090</v>
      </c>
      <c r="L271" s="6"/>
      <c r="M271" s="1" t="s">
        <v>973</v>
      </c>
      <c r="N271" s="1" t="s">
        <v>973</v>
      </c>
      <c r="O271" s="1">
        <v>1</v>
      </c>
      <c r="P271" s="1" t="s">
        <v>973</v>
      </c>
      <c r="Q271" s="1" t="s">
        <v>973</v>
      </c>
      <c r="R271" s="1" t="s">
        <v>973</v>
      </c>
      <c r="S271" s="1"/>
      <c r="T271" s="6"/>
      <c r="U271" s="11">
        <v>8.5178152904316899</v>
      </c>
      <c r="V271" s="11">
        <v>9.3323836189629628</v>
      </c>
      <c r="W271" s="11">
        <v>7.3447237700081498</v>
      </c>
      <c r="X271" s="11">
        <v>7.727204827393968</v>
      </c>
      <c r="Y271" s="11">
        <v>7.9716644440477848</v>
      </c>
      <c r="Z271" s="11">
        <v>7.6916665268615807</v>
      </c>
      <c r="AA271" s="11">
        <v>7.6144885157566167</v>
      </c>
      <c r="AB271" s="11">
        <v>7.3081411959307676</v>
      </c>
      <c r="AC271" s="11">
        <v>5.3267973798811106</v>
      </c>
      <c r="AD271" s="11">
        <v>3.7459615460466611</v>
      </c>
      <c r="AE271" s="11">
        <v>4.4391332915738904</v>
      </c>
      <c r="AF271" s="11">
        <v>4.8181859011678432</v>
      </c>
      <c r="AG271" s="11">
        <v>3.2413775116075874</v>
      </c>
      <c r="AH271" s="11">
        <v>4.231002239327311</v>
      </c>
      <c r="AI271" s="11">
        <v>5.5682074638731756</v>
      </c>
      <c r="AJ271" s="11">
        <v>5.5513724587403006</v>
      </c>
      <c r="AK271" s="6"/>
      <c r="AL271" t="s">
        <v>1077</v>
      </c>
      <c r="AM271">
        <v>614</v>
      </c>
      <c r="AN271" s="6"/>
      <c r="AO271" s="20">
        <v>3.1768000000000001</v>
      </c>
      <c r="AP271" s="20">
        <v>5.7249999999999996</v>
      </c>
      <c r="AQ271" s="20">
        <v>2.9203999999999999</v>
      </c>
      <c r="AR271" s="20">
        <v>2.8715999999999999</v>
      </c>
      <c r="AS271" s="20">
        <v>4.8003</v>
      </c>
      <c r="AT271" s="20">
        <v>3.4681000000000002</v>
      </c>
      <c r="AU271" s="20">
        <v>2.0337000000000001</v>
      </c>
      <c r="AV271" s="20">
        <v>1.7495000000000001</v>
      </c>
      <c r="AW271" s="6"/>
      <c r="AX271" s="18">
        <v>3.0880000000000003E-8</v>
      </c>
      <c r="AY271" s="18">
        <v>1.4829999999999999E-18</v>
      </c>
      <c r="AZ271" s="18">
        <v>4.9299999999999998E-7</v>
      </c>
      <c r="BA271" s="18">
        <v>6.4089999999999998E-7</v>
      </c>
      <c r="BB271" s="18">
        <v>5.8119999999999996E-16</v>
      </c>
      <c r="BC271" s="18">
        <v>3.348E-9</v>
      </c>
      <c r="BD271" s="18">
        <v>3.4049999999999998E-4</v>
      </c>
      <c r="BE271" s="18">
        <v>2.1189999999999998E-3</v>
      </c>
      <c r="BF271" s="13"/>
      <c r="BG271" t="s">
        <v>1131</v>
      </c>
      <c r="BH271" t="s">
        <v>1126</v>
      </c>
      <c r="BI271" t="s">
        <v>1113</v>
      </c>
      <c r="BJ271" t="s">
        <v>1114</v>
      </c>
      <c r="BK271" t="s">
        <v>1115</v>
      </c>
      <c r="BL271" t="s">
        <v>1116</v>
      </c>
      <c r="BM271" t="s">
        <v>1117</v>
      </c>
      <c r="BN271" s="13"/>
      <c r="BO271" t="s">
        <v>973</v>
      </c>
      <c r="BP271" t="s">
        <v>973</v>
      </c>
      <c r="BQ271" t="s">
        <v>973</v>
      </c>
      <c r="BR271" t="s">
        <v>973</v>
      </c>
    </row>
    <row r="272" spans="1:70" x14ac:dyDescent="0.25">
      <c r="A272" t="s">
        <v>236</v>
      </c>
      <c r="B272" t="s">
        <v>184</v>
      </c>
      <c r="C272" t="s">
        <v>32</v>
      </c>
      <c r="D272" s="6"/>
      <c r="E272" s="9" t="str">
        <f>HYPERLINK("http://plants.ensembl.org/Triticum_aestivum/Gene/Summary?g=TRIAE_CS42_2BL_TGACv1_129374_AA0380810","TRIAE_CS42_2BL_TGACv1_129374_AA0380810")</f>
        <v>TRIAE_CS42_2BL_TGACv1_129374_AA0380810</v>
      </c>
      <c r="F272" s="9" t="str">
        <f>HYPERLINK("http://mar2016-plants.ensembl.org/Triticum_aestivum/Gene/Summary?db=core;g=Traes_2BL_1E57B73B21","Traes_2BL_1E57B73B21")</f>
        <v>Traes_2BL_1E57B73B21</v>
      </c>
      <c r="H272" s="8" t="str">
        <f>HYPERLINK("http://plants.ensembl.org/Brachypodium_distachyon/Gene/Summary?g=Bradi5g24110","Bradi5g24110")</f>
        <v>Bradi5g24110</v>
      </c>
      <c r="I272" s="8" t="str">
        <f>HYPERLINK("http://plants.ensembl.org/Arabidopsis_thaliana/Gene/Summary?g=AT2G23340","AT2G23340")</f>
        <v>AT2G23340</v>
      </c>
      <c r="J272" s="9" t="str">
        <f>HYPERLINK("http://plants.ensembl.org/Oryza_sativa/Gene/Summary?db=otherfeatures;g=LOC_Os04g55520","LOC_Os04g55520")</f>
        <v>LOC_Os04g55520</v>
      </c>
      <c r="L272" s="6"/>
      <c r="M272" s="1" t="s">
        <v>973</v>
      </c>
      <c r="N272" s="1" t="s">
        <v>973</v>
      </c>
      <c r="O272" s="1">
        <v>1</v>
      </c>
      <c r="P272" s="1" t="s">
        <v>973</v>
      </c>
      <c r="Q272" s="1" t="s">
        <v>973</v>
      </c>
      <c r="R272" s="1" t="s">
        <v>973</v>
      </c>
      <c r="S272" s="1"/>
      <c r="T272" s="6"/>
      <c r="U272" s="11">
        <v>6.101561837737111</v>
      </c>
      <c r="V272" s="11">
        <v>7.1924430771030794</v>
      </c>
      <c r="W272" s="11">
        <v>5.2701314612760628</v>
      </c>
      <c r="X272" s="11">
        <v>5.854740415001058</v>
      </c>
      <c r="Y272" s="11">
        <v>6.6351207275664175</v>
      </c>
      <c r="Z272" s="11">
        <v>6.5758982057109137</v>
      </c>
      <c r="AA272" s="11">
        <v>6.2918429560019673</v>
      </c>
      <c r="AB272" s="11">
        <v>5.3067434467322503</v>
      </c>
      <c r="AC272" s="11">
        <v>4.6318842213661773</v>
      </c>
      <c r="AD272" s="11">
        <v>4.9157694550259832</v>
      </c>
      <c r="AE272" s="11">
        <v>4.7843975392381459</v>
      </c>
      <c r="AF272" s="11">
        <v>4.4905893833654336</v>
      </c>
      <c r="AG272" s="11">
        <v>4.9673607695853237</v>
      </c>
      <c r="AH272" s="11">
        <v>4.8038383643199314</v>
      </c>
      <c r="AI272" s="11">
        <v>5.174843145336931</v>
      </c>
      <c r="AJ272" s="11">
        <v>4.6623935163761319</v>
      </c>
      <c r="AK272" s="6"/>
      <c r="AL272" t="s">
        <v>1077</v>
      </c>
      <c r="AM272">
        <v>59</v>
      </c>
      <c r="AN272" s="6"/>
      <c r="AO272" s="20">
        <v>1.6021000000000001</v>
      </c>
      <c r="AP272" s="20">
        <v>2.1471</v>
      </c>
      <c r="AQ272" s="20">
        <v>0.48859999999999998</v>
      </c>
      <c r="AR272" s="20">
        <v>1.3597999999999999</v>
      </c>
      <c r="AS272" s="20">
        <v>1.6812</v>
      </c>
      <c r="AT272" s="20">
        <v>1.7946</v>
      </c>
      <c r="AU272" s="20">
        <v>1.1268</v>
      </c>
      <c r="AV272" s="20">
        <v>0.65610000000000002</v>
      </c>
      <c r="AW272" s="6"/>
      <c r="AX272" s="18">
        <v>1.464E-3</v>
      </c>
      <c r="AY272" s="18">
        <v>4.1990000000000003E-5</v>
      </c>
      <c r="AZ272" s="18">
        <v>0.31730000000000003</v>
      </c>
      <c r="BA272" s="18">
        <v>5.751E-3</v>
      </c>
      <c r="BB272" s="18">
        <v>3.7980000000000002E-4</v>
      </c>
      <c r="BC272" s="18">
        <v>2.0359999999999999E-4</v>
      </c>
      <c r="BD272" s="18">
        <v>1.7760000000000001E-2</v>
      </c>
      <c r="BE272" s="18">
        <v>0.183</v>
      </c>
      <c r="BF272" s="13"/>
      <c r="BG272" t="s">
        <v>1125</v>
      </c>
      <c r="BH272" t="s">
        <v>1175</v>
      </c>
      <c r="BI272" t="s">
        <v>1113</v>
      </c>
      <c r="BJ272" t="s">
        <v>1114</v>
      </c>
      <c r="BK272" t="s">
        <v>1115</v>
      </c>
      <c r="BL272" t="s">
        <v>1116</v>
      </c>
      <c r="BM272" t="s">
        <v>1117</v>
      </c>
      <c r="BN272" s="13"/>
      <c r="BO272" t="s">
        <v>973</v>
      </c>
      <c r="BP272" t="s">
        <v>973</v>
      </c>
      <c r="BQ272" t="s">
        <v>973</v>
      </c>
      <c r="BR272" t="s">
        <v>973</v>
      </c>
    </row>
    <row r="273" spans="1:70" x14ac:dyDescent="0.25">
      <c r="A273" t="s">
        <v>263</v>
      </c>
      <c r="B273" t="s">
        <v>152</v>
      </c>
      <c r="C273" t="s">
        <v>32</v>
      </c>
      <c r="D273" s="6"/>
      <c r="E273" s="9" t="str">
        <f>HYPERLINK("http://plants.ensembl.org/Triticum_aestivum/Gene/Summary?g=TRIAE_CS42_2DL_TGACv1_159833_AA0543370","TRIAE_CS42_2DL_TGACv1_159833_AA0543370")</f>
        <v>TRIAE_CS42_2DL_TGACv1_159833_AA0543370</v>
      </c>
      <c r="F273" s="9" t="str">
        <f>HYPERLINK("http://mar2016-plants.ensembl.org/Triticum_aestivum/Gene/Summary?db=core;g=Traes_2DL_2536A1C8C","Traes_2DL_2536A1C8C")</f>
        <v>Traes_2DL_2536A1C8C</v>
      </c>
      <c r="H273" s="8" t="str">
        <f>HYPERLINK("http://plants.ensembl.org/Brachypodium_distachyon/Gene/Summary?g=Bradi5g08380","Bradi5g08380")</f>
        <v>Bradi5g08380</v>
      </c>
      <c r="I273" s="8" t="str">
        <f>HYPERLINK("http://plants.ensembl.org/Arabidopsis_thaliana/Gene/Summary?g=AT5G13330","AT5G13330")</f>
        <v>AT5G13330</v>
      </c>
      <c r="J273" s="9" t="str">
        <f>HYPERLINK("http://plants.ensembl.org/Oryza_sativa/Gene/Summary?db=otherfeatures;g=LOC_Os04g32620","LOC_Os04g32620")</f>
        <v>LOC_Os04g32620</v>
      </c>
      <c r="L273" s="6"/>
      <c r="M273" s="1" t="s">
        <v>973</v>
      </c>
      <c r="N273" s="1" t="s">
        <v>973</v>
      </c>
      <c r="O273" s="1">
        <v>1</v>
      </c>
      <c r="P273" s="1" t="s">
        <v>973</v>
      </c>
      <c r="Q273" s="1" t="s">
        <v>973</v>
      </c>
      <c r="R273" s="1" t="s">
        <v>973</v>
      </c>
      <c r="S273" s="1"/>
      <c r="T273" s="6"/>
      <c r="U273" s="11">
        <v>6.7596503213869594</v>
      </c>
      <c r="V273" s="11">
        <v>7.6896439495421607</v>
      </c>
      <c r="W273" s="11">
        <v>5.3094927247557777</v>
      </c>
      <c r="X273" s="11">
        <v>6.2215716551044142</v>
      </c>
      <c r="Y273" s="11">
        <v>4.7798357727080765</v>
      </c>
      <c r="Z273" s="11">
        <v>5.3791495972879568</v>
      </c>
      <c r="AA273" s="11">
        <v>4.9063374564844047</v>
      </c>
      <c r="AB273" s="11">
        <v>5.4768817265396788</v>
      </c>
      <c r="AC273" s="11">
        <v>3.9556475829423468</v>
      </c>
      <c r="AD273" s="11">
        <v>5.1916560796550861</v>
      </c>
      <c r="AE273" s="11">
        <v>3.2106330337377731</v>
      </c>
      <c r="AF273" s="11">
        <v>3.5426047502607578</v>
      </c>
      <c r="AG273" s="11">
        <v>3.7557314990049906</v>
      </c>
      <c r="AH273" s="11">
        <v>2.832923761022462</v>
      </c>
      <c r="AI273" s="11">
        <v>3.1622906135458</v>
      </c>
      <c r="AJ273" s="11">
        <v>3.7111534651323792</v>
      </c>
      <c r="AK273" s="6"/>
      <c r="AL273" t="s">
        <v>1077</v>
      </c>
      <c r="AM273">
        <v>2</v>
      </c>
      <c r="AN273" s="6"/>
      <c r="AO273" s="20">
        <v>2.8974000000000002</v>
      </c>
      <c r="AP273" s="20">
        <v>2.6345000000000001</v>
      </c>
      <c r="AQ273" s="20">
        <v>2.1724000000000001</v>
      </c>
      <c r="AR273" s="20">
        <v>2.6789000000000001</v>
      </c>
      <c r="AS273" s="20">
        <v>1.0452999999999999</v>
      </c>
      <c r="AT273" s="20">
        <v>2.6518999999999999</v>
      </c>
      <c r="AU273" s="20">
        <v>1.8168</v>
      </c>
      <c r="AV273" s="20">
        <v>1.8045</v>
      </c>
      <c r="AW273" s="6"/>
      <c r="AX273" s="18">
        <v>1.4800000000000001E-5</v>
      </c>
      <c r="AY273" s="18">
        <v>1.022E-4</v>
      </c>
      <c r="AZ273" s="18">
        <v>1.418E-3</v>
      </c>
      <c r="BA273" s="18">
        <v>6.3819999999999995E-5</v>
      </c>
      <c r="BB273" s="18">
        <v>0.115</v>
      </c>
      <c r="BC273" s="18">
        <v>1.5589999999999999E-4</v>
      </c>
      <c r="BD273" s="18">
        <v>7.7260000000000002E-3</v>
      </c>
      <c r="BE273" s="18">
        <v>6.8230000000000001E-3</v>
      </c>
      <c r="BF273" s="13"/>
      <c r="BG273" t="s">
        <v>1191</v>
      </c>
      <c r="BH273" t="s">
        <v>1334</v>
      </c>
      <c r="BI273" t="s">
        <v>1113</v>
      </c>
      <c r="BJ273" t="s">
        <v>1114</v>
      </c>
      <c r="BK273" t="s">
        <v>1115</v>
      </c>
      <c r="BL273" t="s">
        <v>1116</v>
      </c>
      <c r="BM273" t="s">
        <v>1117</v>
      </c>
      <c r="BN273" s="13"/>
      <c r="BO273" t="s">
        <v>973</v>
      </c>
      <c r="BP273" t="s">
        <v>973</v>
      </c>
      <c r="BQ273" t="s">
        <v>973</v>
      </c>
      <c r="BR273" t="s">
        <v>973</v>
      </c>
    </row>
    <row r="274" spans="1:70" x14ac:dyDescent="0.25">
      <c r="A274" t="s">
        <v>276</v>
      </c>
      <c r="B274" t="s">
        <v>168</v>
      </c>
      <c r="C274" t="s">
        <v>32</v>
      </c>
      <c r="D274" s="6"/>
      <c r="E274" s="9" t="str">
        <f>HYPERLINK("http://plants.ensembl.org/Triticum_aestivum/Gene/Summary?g=TRIAE_CS42_2DL_TGACv1_162279_AA0562340","TRIAE_CS42_2DL_TGACv1_162279_AA0562340")</f>
        <v>TRIAE_CS42_2DL_TGACv1_162279_AA0562340</v>
      </c>
      <c r="H274" s="8" t="str">
        <f>HYPERLINK("http://plants.ensembl.org/Brachypodium_distachyon/Gene/Summary?g=Bradi5g17490","Bradi5g17490")</f>
        <v>Bradi5g17490</v>
      </c>
      <c r="I274" s="8" t="str">
        <f>HYPERLINK("http://plants.ensembl.org/Arabidopsis_thaliana/Gene/Summary?g=AT5G47230","AT5G47230")</f>
        <v>AT5G47230</v>
      </c>
      <c r="J274" s="9" t="str">
        <f>HYPERLINK("http://plants.ensembl.org/Oryza_sativa/Gene/Summary?db=otherfeatures;g=LOC_Os04g46250","LOC_Os04g46250")</f>
        <v>LOC_Os04g46250</v>
      </c>
      <c r="L274" s="6"/>
      <c r="M274" s="1" t="s">
        <v>973</v>
      </c>
      <c r="N274" s="1" t="s">
        <v>973</v>
      </c>
      <c r="O274" s="1">
        <v>1</v>
      </c>
      <c r="P274" s="1" t="s">
        <v>973</v>
      </c>
      <c r="Q274" s="1" t="s">
        <v>973</v>
      </c>
      <c r="R274" s="1" t="s">
        <v>973</v>
      </c>
      <c r="S274" s="1"/>
      <c r="T274" s="6"/>
      <c r="U274" s="11">
        <v>9.8276763566980954</v>
      </c>
      <c r="V274" s="11">
        <v>10.86067826551589</v>
      </c>
      <c r="W274" s="11">
        <v>8.4837037424054831</v>
      </c>
      <c r="X274" s="11">
        <v>9.0996253633139972</v>
      </c>
      <c r="Y274" s="11">
        <v>8.9034995863288326</v>
      </c>
      <c r="Z274" s="11">
        <v>8.6182038996977397</v>
      </c>
      <c r="AA274" s="11">
        <v>8.1713551319311595</v>
      </c>
      <c r="AB274" s="11">
        <v>8.0436645724367679</v>
      </c>
      <c r="AC274" s="11">
        <v>3.3711034473767691</v>
      </c>
      <c r="AD274" s="11">
        <v>2.7465492544254784</v>
      </c>
      <c r="AE274" s="11">
        <v>2.3245706142257379</v>
      </c>
      <c r="AF274" s="11">
        <v>2.6102039618530002</v>
      </c>
      <c r="AG274" s="11">
        <v>0.55781034074968749</v>
      </c>
      <c r="AH274" s="11">
        <v>2.8195796300916651</v>
      </c>
      <c r="AI274" s="11">
        <v>1.6597723673540923</v>
      </c>
      <c r="AJ274" s="11">
        <v>2.9520788044426842</v>
      </c>
      <c r="AK274" s="6"/>
      <c r="AL274" t="s">
        <v>1077</v>
      </c>
      <c r="AM274">
        <v>996</v>
      </c>
      <c r="AN274" s="6"/>
      <c r="AO274" s="20">
        <v>6.5587</v>
      </c>
      <c r="AP274" s="20">
        <v>8.3649000000000004</v>
      </c>
      <c r="AQ274" s="20">
        <v>6.3151000000000002</v>
      </c>
      <c r="AR274" s="20">
        <v>6.5332999999999997</v>
      </c>
      <c r="AS274" s="20">
        <v>9.3455999999999992</v>
      </c>
      <c r="AT274" s="20">
        <v>5.8403</v>
      </c>
      <c r="AU274" s="20">
        <v>6.8613999999999997</v>
      </c>
      <c r="AV274" s="20">
        <v>5.1711</v>
      </c>
      <c r="AW274" s="6"/>
      <c r="AX274" s="18">
        <v>1.3159999999999999E-23</v>
      </c>
      <c r="AY274" s="18">
        <v>1.8329999999999999E-28</v>
      </c>
      <c r="AZ274" s="18">
        <v>8.4760000000000002E-20</v>
      </c>
      <c r="BA274" s="18">
        <v>6.6369999999999997E-22</v>
      </c>
      <c r="BB274" s="18">
        <v>1.718E-25</v>
      </c>
      <c r="BC274" s="18">
        <v>3.2699999999999999E-18</v>
      </c>
      <c r="BD274" s="18">
        <v>6.7430000000000002E-20</v>
      </c>
      <c r="BE274" s="18">
        <v>4.1329999999999999E-15</v>
      </c>
      <c r="BF274" s="13"/>
      <c r="BG274" t="s">
        <v>1131</v>
      </c>
      <c r="BH274" t="s">
        <v>1186</v>
      </c>
      <c r="BI274" t="s">
        <v>1113</v>
      </c>
      <c r="BJ274" t="s">
        <v>1114</v>
      </c>
      <c r="BK274" t="s">
        <v>1115</v>
      </c>
      <c r="BL274" t="s">
        <v>1116</v>
      </c>
      <c r="BM274" t="s">
        <v>1117</v>
      </c>
      <c r="BN274" s="13"/>
      <c r="BO274" t="s">
        <v>973</v>
      </c>
      <c r="BP274" t="s">
        <v>973</v>
      </c>
      <c r="BQ274" t="s">
        <v>973</v>
      </c>
      <c r="BR274" t="s">
        <v>973</v>
      </c>
    </row>
    <row r="275" spans="1:70" x14ac:dyDescent="0.25">
      <c r="A275" t="s">
        <v>277</v>
      </c>
      <c r="B275" t="s">
        <v>168</v>
      </c>
      <c r="C275" t="s">
        <v>32</v>
      </c>
      <c r="D275" s="6"/>
      <c r="E275" s="9" t="str">
        <f>HYPERLINK("http://plants.ensembl.org/Triticum_aestivum/Gene/Summary?g=TRIAE_CS42_2DL_TGACv1_158198_AA0512140","TRIAE_CS42_2DL_TGACv1_158198_AA0512140")</f>
        <v>TRIAE_CS42_2DL_TGACv1_158198_AA0512140</v>
      </c>
      <c r="F275" s="9" t="str">
        <f>HYPERLINK("http://mar2016-plants.ensembl.org/Triticum_aestivum/Gene/Summary?db=core;g=Traes_2DL_81E326F1A","Traes_2DL_81E326F1A")</f>
        <v>Traes_2DL_81E326F1A</v>
      </c>
      <c r="H275" s="1" t="s">
        <v>1051</v>
      </c>
      <c r="I275" s="1" t="s">
        <v>1051</v>
      </c>
      <c r="J275" s="1" t="s">
        <v>1051</v>
      </c>
      <c r="L275" s="6"/>
      <c r="M275" s="1" t="s">
        <v>973</v>
      </c>
      <c r="N275" s="1" t="s">
        <v>973</v>
      </c>
      <c r="O275" s="1">
        <v>1</v>
      </c>
      <c r="P275" s="1" t="s">
        <v>973</v>
      </c>
      <c r="Q275" s="1" t="s">
        <v>973</v>
      </c>
      <c r="R275" s="1" t="s">
        <v>973</v>
      </c>
      <c r="S275" s="1"/>
      <c r="T275" s="6"/>
      <c r="U275" s="11">
        <v>4.9786456388442586</v>
      </c>
      <c r="V275" s="11">
        <v>6.7450221490372648</v>
      </c>
      <c r="W275" s="11">
        <v>3.4512023182357563</v>
      </c>
      <c r="X275" s="11">
        <v>4.4099746851918189</v>
      </c>
      <c r="Y275" s="11">
        <v>3.4949446295867452</v>
      </c>
      <c r="Z275" s="11">
        <v>3.5928596400138817</v>
      </c>
      <c r="AA275" s="11">
        <v>2.8823887213793054</v>
      </c>
      <c r="AB275" s="11">
        <v>3.825297185396852</v>
      </c>
      <c r="AC275" s="11">
        <v>0</v>
      </c>
      <c r="AD275" s="11">
        <v>0</v>
      </c>
      <c r="AE275" s="11">
        <v>0.68876224387882412</v>
      </c>
      <c r="AF275" s="11">
        <v>1.4281245202490322</v>
      </c>
      <c r="AG275" s="11">
        <v>0.31490916854998957</v>
      </c>
      <c r="AH275" s="11">
        <v>0.92764365978373919</v>
      </c>
      <c r="AI275" s="11">
        <v>0</v>
      </c>
      <c r="AJ275" s="11">
        <v>1.1848092385282918</v>
      </c>
      <c r="AK275" s="6"/>
      <c r="AL275" t="s">
        <v>1077</v>
      </c>
      <c r="AM275">
        <v>1485</v>
      </c>
      <c r="AN275" s="6"/>
      <c r="AO275" s="20">
        <v>6.9668999999999999</v>
      </c>
      <c r="AP275" s="20">
        <v>7.8212999999999999</v>
      </c>
      <c r="AQ275" s="20">
        <v>3.9251</v>
      </c>
      <c r="AR275" s="20">
        <v>3.3721999999999999</v>
      </c>
      <c r="AS275" s="20">
        <v>4.6199000000000003</v>
      </c>
      <c r="AT275" s="20">
        <v>3.4554</v>
      </c>
      <c r="AU275" s="20">
        <v>4.9035000000000002</v>
      </c>
      <c r="AV275" s="20">
        <v>3.2635000000000001</v>
      </c>
      <c r="AW275" s="6"/>
      <c r="AX275" s="18">
        <v>1.14E-9</v>
      </c>
      <c r="AY275" s="18">
        <v>5.3679999999999997E-12</v>
      </c>
      <c r="AZ275" s="18">
        <v>7.4330000000000002E-5</v>
      </c>
      <c r="BA275" s="18">
        <v>3.2380000000000002E-6</v>
      </c>
      <c r="BB275" s="18">
        <v>3.6090000000000001E-6</v>
      </c>
      <c r="BC275" s="18">
        <v>1.2129999999999999E-4</v>
      </c>
      <c r="BD275" s="18">
        <v>2.0990000000000001E-5</v>
      </c>
      <c r="BE275" s="18">
        <v>3.5549999999999997E-5</v>
      </c>
      <c r="BF275" s="13"/>
      <c r="BG275" t="s">
        <v>1125</v>
      </c>
      <c r="BH275" t="s">
        <v>1126</v>
      </c>
      <c r="BI275" t="s">
        <v>1113</v>
      </c>
      <c r="BJ275" t="s">
        <v>1127</v>
      </c>
      <c r="BK275" t="s">
        <v>1115</v>
      </c>
      <c r="BL275" t="s">
        <v>1116</v>
      </c>
      <c r="BM275" t="s">
        <v>1117</v>
      </c>
      <c r="BN275" s="13"/>
      <c r="BO275" t="s">
        <v>973</v>
      </c>
      <c r="BP275">
        <v>1</v>
      </c>
      <c r="BQ275" t="s">
        <v>973</v>
      </c>
      <c r="BR275" t="s">
        <v>973</v>
      </c>
    </row>
    <row r="276" spans="1:70" ht="27" customHeight="1" x14ac:dyDescent="0.25">
      <c r="A276" t="s">
        <v>278</v>
      </c>
      <c r="B276" t="s">
        <v>229</v>
      </c>
      <c r="C276" t="s">
        <v>32</v>
      </c>
      <c r="D276" s="6"/>
      <c r="E276" s="9" t="str">
        <f>HYPERLINK("http://plants.ensembl.org/Triticum_aestivum/Gene/Summary?g=TRIAE_CS42_2DL_TGACv1_158198_AA0512160","TRIAE_CS42_2DL_TGACv1_158198_AA0512160")</f>
        <v>TRIAE_CS42_2DL_TGACv1_158198_AA0512160</v>
      </c>
      <c r="H276" s="8" t="str">
        <f>HYPERLINK("http://plants.ensembl.org/Brachypodium_distachyon/Gene/Summary?g=Bradi5g17480","Bradi5g17480")</f>
        <v>Bradi5g17480</v>
      </c>
      <c r="I276" s="8" t="str">
        <f>HYPERLINK("http://plants.ensembl.org/Arabidopsis_thaliana/Gene/Summary?g=AT4G17500","AT4G17500")</f>
        <v>AT4G17500</v>
      </c>
      <c r="J276" s="9" t="str">
        <f>HYPERLINK("http://plants.ensembl.org/Oryza_sativa/Gene/Summary?db=otherfeatures;g=LOC_Os04g46220","LOC_Os04g46220")</f>
        <v>LOC_Os04g46220</v>
      </c>
      <c r="L276" s="6"/>
      <c r="M276" s="1" t="s">
        <v>973</v>
      </c>
      <c r="N276" s="1" t="s">
        <v>973</v>
      </c>
      <c r="O276" s="1">
        <v>1</v>
      </c>
      <c r="P276" s="1" t="s">
        <v>973</v>
      </c>
      <c r="Q276" s="1" t="s">
        <v>973</v>
      </c>
      <c r="R276" s="1" t="s">
        <v>973</v>
      </c>
      <c r="S276" s="1"/>
      <c r="T276" s="6"/>
      <c r="U276" s="11">
        <v>7.2316151274959051</v>
      </c>
      <c r="V276" s="11">
        <v>7.4224595254963655</v>
      </c>
      <c r="W276" s="11">
        <v>6.3817373161936857</v>
      </c>
      <c r="X276" s="11">
        <v>6.4552724160332149</v>
      </c>
      <c r="Y276" s="11">
        <v>5.9371395563487877</v>
      </c>
      <c r="Z276" s="11">
        <v>6.2283652924165374</v>
      </c>
      <c r="AA276" s="11">
        <v>6.395867120029517</v>
      </c>
      <c r="AB276" s="11">
        <v>5.9984129142148443</v>
      </c>
      <c r="AC276" s="11">
        <v>4.708268180679001</v>
      </c>
      <c r="AD276" s="11">
        <v>3.7714877087733107</v>
      </c>
      <c r="AE276" s="11">
        <v>3.9905676701527208</v>
      </c>
      <c r="AF276" s="11">
        <v>3.9624348860231811</v>
      </c>
      <c r="AG276" s="11">
        <v>4.1779071645689205</v>
      </c>
      <c r="AH276" s="11">
        <v>3.7553896863581198</v>
      </c>
      <c r="AI276" s="11">
        <v>4.3767210157696104</v>
      </c>
      <c r="AJ276" s="11">
        <v>3.3490207939726226</v>
      </c>
      <c r="AK276" s="6"/>
      <c r="AL276" t="s">
        <v>1077</v>
      </c>
      <c r="AM276">
        <v>973</v>
      </c>
      <c r="AN276" s="6"/>
      <c r="AO276" s="20">
        <v>2.5583</v>
      </c>
      <c r="AP276" s="20">
        <v>3.5089999999999999</v>
      </c>
      <c r="AQ276" s="20">
        <v>2.4258000000000002</v>
      </c>
      <c r="AR276" s="20">
        <v>2.4746999999999999</v>
      </c>
      <c r="AS276" s="20">
        <v>1.7783</v>
      </c>
      <c r="AT276" s="20">
        <v>2.524</v>
      </c>
      <c r="AU276" s="20">
        <v>2.0270999999999999</v>
      </c>
      <c r="AV276" s="20">
        <v>2.7111000000000001</v>
      </c>
      <c r="AW276" s="6"/>
      <c r="AX276" s="18">
        <v>4.2370000000000003E-5</v>
      </c>
      <c r="AY276" s="18">
        <v>3.2940000000000002E-7</v>
      </c>
      <c r="AZ276" s="18">
        <v>1.155E-4</v>
      </c>
      <c r="BA276" s="18">
        <v>9.0350000000000001E-5</v>
      </c>
      <c r="BB276" s="18">
        <v>4.1879999999999999E-3</v>
      </c>
      <c r="BC276" s="18">
        <v>7.7949999999999997E-5</v>
      </c>
      <c r="BD276" s="18">
        <v>1.0970000000000001E-3</v>
      </c>
      <c r="BE276" s="18">
        <v>2.7080000000000002E-5</v>
      </c>
      <c r="BF276" s="13"/>
      <c r="BG276" t="s">
        <v>1191</v>
      </c>
      <c r="BH276" t="s">
        <v>1112</v>
      </c>
      <c r="BI276" t="s">
        <v>1113</v>
      </c>
      <c r="BJ276" t="s">
        <v>1114</v>
      </c>
      <c r="BK276" t="s">
        <v>1115</v>
      </c>
      <c r="BL276" t="s">
        <v>1116</v>
      </c>
      <c r="BM276" t="s">
        <v>1117</v>
      </c>
      <c r="BN276" s="13"/>
      <c r="BO276" t="s">
        <v>973</v>
      </c>
      <c r="BP276" t="s">
        <v>973</v>
      </c>
      <c r="BQ276" t="s">
        <v>973</v>
      </c>
      <c r="BR276" t="s">
        <v>973</v>
      </c>
    </row>
    <row r="277" spans="1:70" x14ac:dyDescent="0.25">
      <c r="A277" t="s">
        <v>279</v>
      </c>
      <c r="B277" t="s">
        <v>231</v>
      </c>
      <c r="C277" t="s">
        <v>32</v>
      </c>
      <c r="D277" s="6"/>
      <c r="E277" s="9" t="str">
        <f>HYPERLINK("http://plants.ensembl.org/Triticum_aestivum/Gene/Summary?g=TRIAE_CS42_2DL_TGACv1_159075_AA0531860","TRIAE_CS42_2DL_TGACv1_159075_AA0531860")</f>
        <v>TRIAE_CS42_2DL_TGACv1_159075_AA0531860</v>
      </c>
      <c r="H277" s="8" t="str">
        <f>HYPERLINK("http://plants.ensembl.org/Brachypodium_distachyon/Gene/Summary?g=Bradi5g21250","Bradi5g21250")</f>
        <v>Bradi5g21250</v>
      </c>
      <c r="I277" s="1" t="s">
        <v>1051</v>
      </c>
      <c r="J277" s="9" t="str">
        <f>HYPERLINK("http://plants.ensembl.org/Oryza_sativa/Gene/Summary?db=otherfeatures;g=LOC_Os04g52090","LOC_Os04g52090")</f>
        <v>LOC_Os04g52090</v>
      </c>
      <c r="L277" s="6"/>
      <c r="M277" s="1" t="s">
        <v>973</v>
      </c>
      <c r="N277" s="1" t="s">
        <v>973</v>
      </c>
      <c r="O277" s="1">
        <v>1</v>
      </c>
      <c r="P277" s="1" t="s">
        <v>973</v>
      </c>
      <c r="Q277" s="1" t="s">
        <v>973</v>
      </c>
      <c r="R277" s="1" t="s">
        <v>973</v>
      </c>
      <c r="S277" s="1"/>
      <c r="T277" s="6"/>
      <c r="U277" s="11">
        <v>7.7490217696298345</v>
      </c>
      <c r="V277" s="11">
        <v>8.4097173443233419</v>
      </c>
      <c r="W277" s="11">
        <v>6.36015296079648</v>
      </c>
      <c r="X277" s="11">
        <v>6.7819458532427692</v>
      </c>
      <c r="Y277" s="11">
        <v>6.7229295432946952</v>
      </c>
      <c r="Z277" s="11">
        <v>6.5384874656241303</v>
      </c>
      <c r="AA277" s="11">
        <v>6.4340298993951679</v>
      </c>
      <c r="AB277" s="11">
        <v>5.9749835247190033</v>
      </c>
      <c r="AC277" s="11">
        <v>4.7320665493970475</v>
      </c>
      <c r="AD277" s="11">
        <v>2.9941331497400725</v>
      </c>
      <c r="AE277" s="11">
        <v>3.5121552346742235</v>
      </c>
      <c r="AF277" s="11">
        <v>4.0572711878109962</v>
      </c>
      <c r="AG277" s="11">
        <v>2.3077490884733995</v>
      </c>
      <c r="AH277" s="11">
        <v>2.6828504239822322</v>
      </c>
      <c r="AI277" s="11">
        <v>3.9904375751086758</v>
      </c>
      <c r="AJ277" s="11">
        <v>4.1359506982484611</v>
      </c>
      <c r="AK277" s="6"/>
      <c r="AL277" t="s">
        <v>1077</v>
      </c>
      <c r="AM277">
        <v>589</v>
      </c>
      <c r="AN277" s="6"/>
      <c r="AO277" s="20">
        <v>3.0398000000000001</v>
      </c>
      <c r="AP277" s="20">
        <v>5.5530999999999997</v>
      </c>
      <c r="AQ277" s="20">
        <v>2.8877000000000002</v>
      </c>
      <c r="AR277" s="20">
        <v>2.702</v>
      </c>
      <c r="AS277" s="20">
        <v>4.6361999999999997</v>
      </c>
      <c r="AT277" s="20">
        <v>3.9916</v>
      </c>
      <c r="AU277" s="20">
        <v>2.4661</v>
      </c>
      <c r="AV277" s="20">
        <v>1.8613999999999999</v>
      </c>
      <c r="AW277" s="6"/>
      <c r="AX277" s="18">
        <v>5.2229999999999996E-7</v>
      </c>
      <c r="AY277" s="18">
        <v>8.5909999999999994E-15</v>
      </c>
      <c r="AZ277" s="18">
        <v>3.732E-6</v>
      </c>
      <c r="BA277" s="18">
        <v>1.0509999999999999E-5</v>
      </c>
      <c r="BB277" s="18">
        <v>1.142E-12</v>
      </c>
      <c r="BC277" s="18">
        <v>1.939E-9</v>
      </c>
      <c r="BD277" s="18">
        <v>5.4549999999999998E-5</v>
      </c>
      <c r="BE277" s="18">
        <v>2.3739999999999998E-3</v>
      </c>
      <c r="BF277" s="13"/>
      <c r="BG277" t="s">
        <v>1325</v>
      </c>
      <c r="BH277" t="s">
        <v>1126</v>
      </c>
      <c r="BI277" t="s">
        <v>1113</v>
      </c>
      <c r="BJ277" t="s">
        <v>1114</v>
      </c>
      <c r="BK277" t="s">
        <v>1115</v>
      </c>
      <c r="BL277" t="s">
        <v>1116</v>
      </c>
      <c r="BM277" t="s">
        <v>1117</v>
      </c>
      <c r="BN277" s="13"/>
      <c r="BO277" t="s">
        <v>973</v>
      </c>
      <c r="BP277" t="s">
        <v>973</v>
      </c>
      <c r="BQ277" t="s">
        <v>973</v>
      </c>
      <c r="BR277" t="s">
        <v>973</v>
      </c>
    </row>
    <row r="278" spans="1:70" x14ac:dyDescent="0.25">
      <c r="A278" t="s">
        <v>281</v>
      </c>
      <c r="B278" t="s">
        <v>282</v>
      </c>
      <c r="C278" t="s">
        <v>32</v>
      </c>
      <c r="D278" s="6"/>
      <c r="E278" s="9" t="str">
        <f>HYPERLINK("http://plants.ensembl.org/Triticum_aestivum/Gene/Summary?g=TRIAE_CS42_2DL_TGACv1_157911_AA0501420","TRIAE_CS42_2DL_TGACv1_157911_AA0501420")</f>
        <v>TRIAE_CS42_2DL_TGACv1_157911_AA0501420</v>
      </c>
      <c r="F278" s="9" t="str">
        <f>HYPERLINK("http://mar2016-plants.ensembl.org/Triticum_aestivum/Gene/Summary?db=core;g=Traes_2DL_35AE1F125","Traes_2DL_35AE1F125")</f>
        <v>Traes_2DL_35AE1F125</v>
      </c>
      <c r="H278" s="1" t="s">
        <v>1051</v>
      </c>
      <c r="I278" s="1" t="s">
        <v>1051</v>
      </c>
      <c r="J278" s="1" t="s">
        <v>1051</v>
      </c>
      <c r="L278" s="6"/>
      <c r="M278" s="1" t="s">
        <v>973</v>
      </c>
      <c r="N278" s="1" t="s">
        <v>973</v>
      </c>
      <c r="O278" s="1">
        <v>1</v>
      </c>
      <c r="P278" s="1" t="s">
        <v>973</v>
      </c>
      <c r="Q278" s="1" t="s">
        <v>973</v>
      </c>
      <c r="R278" s="1" t="s">
        <v>973</v>
      </c>
      <c r="S278" s="1"/>
      <c r="T278" s="6"/>
      <c r="U278" s="11">
        <v>7.8589310783080091</v>
      </c>
      <c r="V278" s="11">
        <v>8.229696383542576</v>
      </c>
      <c r="W278" s="11">
        <v>5.1721527786845289</v>
      </c>
      <c r="X278" s="11">
        <v>4.8706984326577398</v>
      </c>
      <c r="Y278" s="11">
        <v>5.8281618779427378</v>
      </c>
      <c r="Z278" s="11">
        <v>5.0425888929657292</v>
      </c>
      <c r="AA278" s="11">
        <v>5.5740843474669708</v>
      </c>
      <c r="AB278" s="11">
        <v>4.7856621409485962</v>
      </c>
      <c r="AC278" s="11">
        <v>1.3228319006167593</v>
      </c>
      <c r="AD278" s="11">
        <v>0</v>
      </c>
      <c r="AE278" s="11">
        <v>0.63549128532802934</v>
      </c>
      <c r="AF278" s="11">
        <v>0.47677914088184625</v>
      </c>
      <c r="AG278" s="11">
        <v>0.16602981449478316</v>
      </c>
      <c r="AH278" s="11">
        <v>0</v>
      </c>
      <c r="AI278" s="11">
        <v>2.0178269126037409</v>
      </c>
      <c r="AJ278" s="11">
        <v>0.60729480081921261</v>
      </c>
      <c r="AK278" s="6"/>
      <c r="AL278" t="s">
        <v>1077</v>
      </c>
      <c r="AM278" s="12">
        <v>3384</v>
      </c>
      <c r="AN278" s="6"/>
      <c r="AO278" s="20">
        <v>7.1111000000000004</v>
      </c>
      <c r="AP278" s="20">
        <v>9.0390999999999995</v>
      </c>
      <c r="AQ278" s="20">
        <v>5.6428000000000003</v>
      </c>
      <c r="AR278" s="20">
        <v>5.3632999999999997</v>
      </c>
      <c r="AS278" s="20">
        <v>7.5366</v>
      </c>
      <c r="AT278" s="20">
        <v>6.8533999999999997</v>
      </c>
      <c r="AU278" s="20">
        <v>3.8483999999999998</v>
      </c>
      <c r="AV278" s="20">
        <v>5.2991000000000001</v>
      </c>
      <c r="AW278" s="6"/>
      <c r="AX278" s="18">
        <v>1.0170000000000001E-18</v>
      </c>
      <c r="AY278" s="18">
        <v>1.5350000000000001E-15</v>
      </c>
      <c r="AZ278" s="18">
        <v>1.088E-8</v>
      </c>
      <c r="BA278" s="18">
        <v>9.5859999999999999E-8</v>
      </c>
      <c r="BB278" s="18">
        <v>6.427E-12</v>
      </c>
      <c r="BC278" s="18">
        <v>3.2470000000000001E-9</v>
      </c>
      <c r="BD278" s="18">
        <v>1.4279999999999999E-8</v>
      </c>
      <c r="BE278" s="18">
        <v>9.0820000000000002E-8</v>
      </c>
      <c r="BF278" s="13"/>
      <c r="BG278" t="s">
        <v>1191</v>
      </c>
      <c r="BH278" t="s">
        <v>1132</v>
      </c>
      <c r="BI278" t="s">
        <v>1113</v>
      </c>
      <c r="BJ278" t="s">
        <v>1114</v>
      </c>
      <c r="BK278" t="s">
        <v>1115</v>
      </c>
      <c r="BL278" t="s">
        <v>1116</v>
      </c>
      <c r="BM278" t="s">
        <v>1117</v>
      </c>
      <c r="BN278" s="13"/>
      <c r="BO278" t="s">
        <v>973</v>
      </c>
      <c r="BP278" t="s">
        <v>973</v>
      </c>
      <c r="BQ278">
        <v>1</v>
      </c>
      <c r="BR278" t="s">
        <v>973</v>
      </c>
    </row>
    <row r="279" spans="1:70" x14ac:dyDescent="0.25">
      <c r="A279" t="s">
        <v>284</v>
      </c>
      <c r="B279" t="s">
        <v>184</v>
      </c>
      <c r="C279" t="s">
        <v>32</v>
      </c>
      <c r="D279" s="6"/>
      <c r="E279" s="9" t="str">
        <f>HYPERLINK("http://plants.ensembl.org/Triticum_aestivum/Gene/Summary?g=TRIAE_CS42_2DL_TGACv1_159069_AA0531760","TRIAE_CS42_2DL_TGACv1_159069_AA0531760")</f>
        <v>TRIAE_CS42_2DL_TGACv1_159069_AA0531760</v>
      </c>
      <c r="H279" s="8" t="str">
        <f>HYPERLINK("http://plants.ensembl.org/Brachypodium_distachyon/Gene/Summary?g=Bradi5g24110","Bradi5g24110")</f>
        <v>Bradi5g24110</v>
      </c>
      <c r="I279" s="8" t="str">
        <f>HYPERLINK("http://plants.ensembl.org/Arabidopsis_thaliana/Gene/Summary?g=AT2G23340","AT2G23340")</f>
        <v>AT2G23340</v>
      </c>
      <c r="J279" s="9" t="str">
        <f>HYPERLINK("http://plants.ensembl.org/Oryza_sativa/Gene/Summary?db=otherfeatures;g=LOC_Os04g55520","LOC_Os04g55520")</f>
        <v>LOC_Os04g55520</v>
      </c>
      <c r="L279" s="6"/>
      <c r="M279" s="1" t="s">
        <v>973</v>
      </c>
      <c r="N279" s="1" t="s">
        <v>973</v>
      </c>
      <c r="O279" s="1">
        <v>1</v>
      </c>
      <c r="P279" s="1" t="s">
        <v>973</v>
      </c>
      <c r="Q279" s="1" t="s">
        <v>973</v>
      </c>
      <c r="R279" s="1" t="s">
        <v>973</v>
      </c>
      <c r="S279" s="1"/>
      <c r="T279" s="6"/>
      <c r="U279" s="11">
        <v>5.6259805554787885</v>
      </c>
      <c r="V279" s="11">
        <v>7.709244907374873</v>
      </c>
      <c r="W279" s="11">
        <v>5.0204503443988004</v>
      </c>
      <c r="X279" s="11">
        <v>5.532472816842871</v>
      </c>
      <c r="Y279" s="11">
        <v>5.7964212477441226</v>
      </c>
      <c r="Z279" s="11">
        <v>5.2764048503408825</v>
      </c>
      <c r="AA279" s="11">
        <v>6.143550562010641</v>
      </c>
      <c r="AB279" s="11">
        <v>4.9090130013642126</v>
      </c>
      <c r="AC279" s="11">
        <v>4.2078980561595101</v>
      </c>
      <c r="AD279" s="11">
        <v>4.9862076389779659</v>
      </c>
      <c r="AE279" s="11">
        <v>3.5647358508029621</v>
      </c>
      <c r="AF279" s="11">
        <v>3.7179706434529645</v>
      </c>
      <c r="AG279" s="11">
        <v>4.193900502781827</v>
      </c>
      <c r="AH279" s="11">
        <v>3.2912499129642296</v>
      </c>
      <c r="AI279" s="11">
        <v>4.4351907412274754</v>
      </c>
      <c r="AJ279" s="11">
        <v>3.9636282498273792</v>
      </c>
      <c r="AK279" s="6"/>
      <c r="AL279" t="s">
        <v>1077</v>
      </c>
      <c r="AM279">
        <v>0</v>
      </c>
      <c r="AN279" s="6"/>
      <c r="AO279" s="20">
        <v>1.5616000000000001</v>
      </c>
      <c r="AP279" s="20">
        <v>3.0160999999999998</v>
      </c>
      <c r="AQ279" s="20">
        <v>1.5031000000000001</v>
      </c>
      <c r="AR279" s="20">
        <v>1.8139000000000001</v>
      </c>
      <c r="AS279" s="20">
        <v>1.6379999999999999</v>
      </c>
      <c r="AT279" s="20">
        <v>2.0762999999999998</v>
      </c>
      <c r="AU279" s="20">
        <v>1.7267999999999999</v>
      </c>
      <c r="AV279" s="20">
        <v>0.97089999999999999</v>
      </c>
      <c r="AW279" s="6"/>
      <c r="AX279" s="18">
        <v>1.1129999999999999E-2</v>
      </c>
      <c r="AY279" s="18">
        <v>1.4169999999999999E-6</v>
      </c>
      <c r="AZ279" s="18">
        <v>1.423E-2</v>
      </c>
      <c r="BA279" s="18">
        <v>2.898E-3</v>
      </c>
      <c r="BB279" s="18">
        <v>5.2859999999999999E-3</v>
      </c>
      <c r="BC279" s="18">
        <v>9.0680000000000003E-4</v>
      </c>
      <c r="BD279" s="18">
        <v>3.238E-3</v>
      </c>
      <c r="BE279" s="18">
        <v>0.10970000000000001</v>
      </c>
      <c r="BF279" s="13"/>
      <c r="BG279" t="s">
        <v>1125</v>
      </c>
      <c r="BH279" t="s">
        <v>1126</v>
      </c>
      <c r="BI279" t="s">
        <v>1113</v>
      </c>
      <c r="BJ279" t="s">
        <v>1127</v>
      </c>
      <c r="BK279" t="s">
        <v>1115</v>
      </c>
      <c r="BL279" t="s">
        <v>1116</v>
      </c>
      <c r="BM279" t="s">
        <v>1117</v>
      </c>
      <c r="BN279" s="13"/>
      <c r="BO279" t="s">
        <v>973</v>
      </c>
      <c r="BP279">
        <v>1</v>
      </c>
      <c r="BQ279" t="s">
        <v>973</v>
      </c>
      <c r="BR279" t="s">
        <v>973</v>
      </c>
    </row>
    <row r="280" spans="1:70" x14ac:dyDescent="0.25">
      <c r="A280" t="s">
        <v>341</v>
      </c>
      <c r="B280" t="s">
        <v>342</v>
      </c>
      <c r="C280" t="s">
        <v>32</v>
      </c>
      <c r="D280" s="6"/>
      <c r="E280" s="9" t="str">
        <f>HYPERLINK("http://plants.ensembl.org/Triticum_aestivum/Gene/Summary?g=TRIAE_CS42_3AL_TGACv1_195658_AA0652420","TRIAE_CS42_3AL_TGACv1_195658_AA0652420")</f>
        <v>TRIAE_CS42_3AL_TGACv1_195658_AA0652420</v>
      </c>
      <c r="H280" s="8" t="str">
        <f>HYPERLINK("http://plants.ensembl.org/Brachypodium_distachyon/Gene/Summary?g=Bradi2g56145","Bradi2g56145")</f>
        <v>Bradi2g56145</v>
      </c>
      <c r="I280" s="1" t="s">
        <v>1051</v>
      </c>
      <c r="J280" s="9" t="str">
        <f>HYPERLINK("http://plants.ensembl.org/Oryza_sativa/Gene/Summary?db=otherfeatures;g=LOC_Os01g64790","LOC_Os01g64790")</f>
        <v>LOC_Os01g64790</v>
      </c>
      <c r="L280" s="6"/>
      <c r="M280" s="1" t="s">
        <v>973</v>
      </c>
      <c r="N280" s="1" t="s">
        <v>973</v>
      </c>
      <c r="O280" s="1">
        <v>1</v>
      </c>
      <c r="P280" s="1" t="s">
        <v>973</v>
      </c>
      <c r="Q280" s="1" t="s">
        <v>973</v>
      </c>
      <c r="R280" s="1" t="s">
        <v>973</v>
      </c>
      <c r="S280" s="1"/>
      <c r="T280" s="6"/>
      <c r="U280" s="11">
        <v>6.0243795242639377</v>
      </c>
      <c r="V280" s="11">
        <v>6.898339779168988</v>
      </c>
      <c r="W280" s="11">
        <v>4.5371780122789866</v>
      </c>
      <c r="X280" s="11">
        <v>5.0673160360874121</v>
      </c>
      <c r="Y280" s="11">
        <v>5.1782179903155763</v>
      </c>
      <c r="Z280" s="11">
        <v>5.5528565780564003</v>
      </c>
      <c r="AA280" s="11">
        <v>4.966253565116574</v>
      </c>
      <c r="AB280" s="11">
        <v>5.1465751244735047</v>
      </c>
      <c r="AC280" s="11">
        <v>2.2537977007123411</v>
      </c>
      <c r="AD280" s="11">
        <v>3.4929683493190327</v>
      </c>
      <c r="AE280" s="11">
        <v>2.774425132711126</v>
      </c>
      <c r="AF280" s="11">
        <v>2.096644181808704</v>
      </c>
      <c r="AG280" s="11">
        <v>2.1060355788357521</v>
      </c>
      <c r="AH280" s="11">
        <v>3.2704143195685589</v>
      </c>
      <c r="AI280" s="11">
        <v>2.2120193394759293</v>
      </c>
      <c r="AJ280" s="11">
        <v>2.6800617519446082</v>
      </c>
      <c r="AK280" s="6"/>
      <c r="AL280" t="s">
        <v>1077</v>
      </c>
      <c r="AM280">
        <v>617</v>
      </c>
      <c r="AN280" s="6"/>
      <c r="AO280" s="20">
        <v>4.1994999999999996</v>
      </c>
      <c r="AP280" s="20">
        <v>4.4165999999999999</v>
      </c>
      <c r="AQ280" s="20">
        <v>1.88</v>
      </c>
      <c r="AR280" s="20">
        <v>3.1560000000000001</v>
      </c>
      <c r="AS280" s="20">
        <v>3.2667000000000002</v>
      </c>
      <c r="AT280" s="20">
        <v>2.3666</v>
      </c>
      <c r="AU280" s="20">
        <v>2.9895</v>
      </c>
      <c r="AV280" s="20">
        <v>2.6116000000000001</v>
      </c>
      <c r="AW280" s="6"/>
      <c r="AX280" s="18">
        <v>3.6479999999999998E-9</v>
      </c>
      <c r="AY280" s="18">
        <v>2.2780000000000002E-9</v>
      </c>
      <c r="AZ280" s="18">
        <v>3.9830000000000004E-3</v>
      </c>
      <c r="BA280" s="18">
        <v>6.1079999999999998E-6</v>
      </c>
      <c r="BB280" s="18">
        <v>6.4190000000000005E-7</v>
      </c>
      <c r="BC280" s="18">
        <v>1.6860000000000001E-4</v>
      </c>
      <c r="BD280" s="18">
        <v>1.1049999999999999E-5</v>
      </c>
      <c r="BE280" s="18">
        <v>6.2189999999999999E-5</v>
      </c>
      <c r="BF280" s="13"/>
      <c r="BG280" t="s">
        <v>1125</v>
      </c>
      <c r="BH280" t="s">
        <v>1175</v>
      </c>
      <c r="BI280" t="s">
        <v>1113</v>
      </c>
      <c r="BJ280" t="s">
        <v>1114</v>
      </c>
      <c r="BK280" t="s">
        <v>1115</v>
      </c>
      <c r="BL280" t="s">
        <v>1116</v>
      </c>
      <c r="BM280" t="s">
        <v>1117</v>
      </c>
      <c r="BN280" s="13"/>
      <c r="BO280" t="s">
        <v>973</v>
      </c>
      <c r="BP280" t="s">
        <v>973</v>
      </c>
      <c r="BQ280" t="s">
        <v>973</v>
      </c>
      <c r="BR280" t="s">
        <v>973</v>
      </c>
    </row>
    <row r="281" spans="1:70" x14ac:dyDescent="0.25">
      <c r="A281" t="s">
        <v>345</v>
      </c>
      <c r="B281" t="s">
        <v>346</v>
      </c>
      <c r="C281" t="s">
        <v>32</v>
      </c>
      <c r="D281" s="6"/>
      <c r="E281" s="9" t="str">
        <f>HYPERLINK("http://plants.ensembl.org/Triticum_aestivum/Gene/Summary?g=TRIAE_CS42_3AL_TGACv1_193856_AA0621010","TRIAE_CS42_3AL_TGACv1_193856_AA0621010")</f>
        <v>TRIAE_CS42_3AL_TGACv1_193856_AA0621010</v>
      </c>
      <c r="H281" s="8" t="str">
        <f>HYPERLINK("http://plants.ensembl.org/Brachypodium_distachyon/Gene/Summary?g=Bradi2g57201","Bradi2g57201")</f>
        <v>Bradi2g57201</v>
      </c>
      <c r="I281" s="8" t="str">
        <f>HYPERLINK("http://plants.ensembl.org/Arabidopsis_thaliana/Gene/Summary?g=AT1G71520","AT1G71520")</f>
        <v>AT1G71520</v>
      </c>
      <c r="J281" s="9" t="str">
        <f>HYPERLINK("http://plants.ensembl.org/Oryza_sativa/Gene/Summary?db=otherfeatures;g=LOC_Os01g66270","LOC_Os01g66270")</f>
        <v>LOC_Os01g66270</v>
      </c>
      <c r="L281" s="6"/>
      <c r="M281" s="1" t="s">
        <v>973</v>
      </c>
      <c r="N281" s="1" t="s">
        <v>973</v>
      </c>
      <c r="O281" s="1">
        <v>1</v>
      </c>
      <c r="P281" s="1" t="s">
        <v>973</v>
      </c>
      <c r="Q281" s="1" t="s">
        <v>973</v>
      </c>
      <c r="R281" s="1" t="s">
        <v>973</v>
      </c>
      <c r="S281" s="1"/>
      <c r="T281" s="6"/>
      <c r="U281" s="11">
        <v>6.6145744010802714</v>
      </c>
      <c r="V281" s="11">
        <v>7.8517411305124707</v>
      </c>
      <c r="W281" s="11">
        <v>4.5152709078047453</v>
      </c>
      <c r="X281" s="11">
        <v>4.3111664279659614</v>
      </c>
      <c r="Y281" s="11">
        <v>5.2459988348793409</v>
      </c>
      <c r="Z281" s="11">
        <v>4.1956389429009286</v>
      </c>
      <c r="AA281" s="11">
        <v>4.0473435268544735</v>
      </c>
      <c r="AB281" s="11">
        <v>4.604446976591408</v>
      </c>
      <c r="AC281" s="11">
        <v>1.624740390578133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1.6926950002822698</v>
      </c>
      <c r="AJ281" s="11">
        <v>0.60729480081921261</v>
      </c>
      <c r="AK281" s="6"/>
      <c r="AL281" t="s">
        <v>1077</v>
      </c>
      <c r="AM281">
        <v>2341</v>
      </c>
      <c r="AN281" s="6"/>
      <c r="AO281" s="20">
        <v>5.6372</v>
      </c>
      <c r="AP281" s="20">
        <v>8.6616</v>
      </c>
      <c r="AQ281" s="20">
        <v>6.4752000000000001</v>
      </c>
      <c r="AR281" s="20">
        <v>6.1829000000000001</v>
      </c>
      <c r="AS281" s="20">
        <v>7.7244999999999999</v>
      </c>
      <c r="AT281" s="20">
        <v>5.9949000000000003</v>
      </c>
      <c r="AU281" s="20">
        <v>2.6770999999999998</v>
      </c>
      <c r="AV281" s="20">
        <v>5.1081000000000003</v>
      </c>
      <c r="AW281" s="6"/>
      <c r="AX281" s="18">
        <v>3.6730000000000001E-10</v>
      </c>
      <c r="AY281" s="18">
        <v>8.8929999999999996E-13</v>
      </c>
      <c r="AZ281" s="18">
        <v>1.2989999999999999E-7</v>
      </c>
      <c r="BA281" s="18">
        <v>4.932E-7</v>
      </c>
      <c r="BB281" s="18">
        <v>2.7980000000000001E-10</v>
      </c>
      <c r="BC281" s="18">
        <v>1.0809999999999999E-6</v>
      </c>
      <c r="BD281" s="18">
        <v>1.6149999999999999E-3</v>
      </c>
      <c r="BE281" s="18">
        <v>2.3479999999999998E-6</v>
      </c>
      <c r="BF281" s="13"/>
      <c r="BG281" t="s">
        <v>1125</v>
      </c>
      <c r="BH281" t="s">
        <v>1126</v>
      </c>
      <c r="BI281" t="s">
        <v>1113</v>
      </c>
      <c r="BJ281" t="s">
        <v>1114</v>
      </c>
      <c r="BK281" t="s">
        <v>1115</v>
      </c>
      <c r="BL281" t="s">
        <v>1116</v>
      </c>
      <c r="BM281" t="s">
        <v>1117</v>
      </c>
      <c r="BN281" s="13"/>
      <c r="BO281" t="s">
        <v>973</v>
      </c>
      <c r="BP281">
        <v>1</v>
      </c>
      <c r="BQ281" t="s">
        <v>973</v>
      </c>
      <c r="BR281" t="s">
        <v>973</v>
      </c>
    </row>
    <row r="282" spans="1:70" x14ac:dyDescent="0.25">
      <c r="A282" t="s">
        <v>394</v>
      </c>
      <c r="B282" t="s">
        <v>342</v>
      </c>
      <c r="C282" t="s">
        <v>32</v>
      </c>
      <c r="D282" s="6"/>
      <c r="E282" s="9" t="str">
        <f>HYPERLINK("http://plants.ensembl.org/Triticum_aestivum/Gene/Summary?g=TRIAE_CS42_3B_TGACv1_225151_AA0805500","TRIAE_CS42_3B_TGACv1_225151_AA0805500")</f>
        <v>TRIAE_CS42_3B_TGACv1_225151_AA0805500</v>
      </c>
      <c r="F282" s="9" t="str">
        <f>HYPERLINK("http://mar2016-plants.ensembl.org/Triticum_aestivum/Gene/Summary?db=core;g=TRAES3BF006700050CFD","TRAES3BF006700050CFD")</f>
        <v>TRAES3BF006700050CFD</v>
      </c>
      <c r="H282" s="8" t="str">
        <f>HYPERLINK("http://plants.ensembl.org/Brachypodium_distachyon/Gene/Summary?g=Bradi2g56145","Bradi2g56145")</f>
        <v>Bradi2g56145</v>
      </c>
      <c r="I282" s="1" t="s">
        <v>1051</v>
      </c>
      <c r="J282" s="9" t="str">
        <f>HYPERLINK("http://plants.ensembl.org/Oryza_sativa/Gene/Summary?db=otherfeatures;g=LOC_Os01g64790","LOC_Os01g64790")</f>
        <v>LOC_Os01g64790</v>
      </c>
      <c r="L282" s="6"/>
      <c r="M282" s="1" t="s">
        <v>973</v>
      </c>
      <c r="N282" s="1" t="s">
        <v>973</v>
      </c>
      <c r="O282" s="1">
        <v>1</v>
      </c>
      <c r="P282" s="1" t="s">
        <v>973</v>
      </c>
      <c r="Q282" s="1" t="s">
        <v>973</v>
      </c>
      <c r="R282" s="1" t="s">
        <v>973</v>
      </c>
      <c r="S282" s="1"/>
      <c r="T282" s="6"/>
      <c r="U282" s="11">
        <v>7.7647928760317386</v>
      </c>
      <c r="V282" s="11">
        <v>9.6458396734719987</v>
      </c>
      <c r="W282" s="11">
        <v>6.4244703357317796</v>
      </c>
      <c r="X282" s="11">
        <v>7.6055486571172208</v>
      </c>
      <c r="Y282" s="11">
        <v>6.750151794889101</v>
      </c>
      <c r="Z282" s="11">
        <v>7.6663513686568958</v>
      </c>
      <c r="AA282" s="11">
        <v>6.6420839530821798</v>
      </c>
      <c r="AB282" s="11">
        <v>7.3947519191845883</v>
      </c>
      <c r="AC282" s="11">
        <v>3.9773257226155185</v>
      </c>
      <c r="AD282" s="11">
        <v>5.2348946920526283</v>
      </c>
      <c r="AE282" s="11">
        <v>3.5802620854977754</v>
      </c>
      <c r="AF282" s="11">
        <v>4.4567601609506653</v>
      </c>
      <c r="AG282" s="11">
        <v>3.2374260500088838</v>
      </c>
      <c r="AH282" s="11">
        <v>5.5309738090860625</v>
      </c>
      <c r="AI282" s="11">
        <v>4.2097652659741041</v>
      </c>
      <c r="AJ282" s="11">
        <v>5.2731540516234023</v>
      </c>
      <c r="AK282" s="6"/>
      <c r="AL282" t="s">
        <v>1077</v>
      </c>
      <c r="AM282">
        <v>9</v>
      </c>
      <c r="AN282" s="6"/>
      <c r="AO282" s="20">
        <v>3.9238</v>
      </c>
      <c r="AP282" s="20">
        <v>4.3026999999999997</v>
      </c>
      <c r="AQ282" s="20">
        <v>2.9344000000000001</v>
      </c>
      <c r="AR282" s="20">
        <v>3.1520999999999999</v>
      </c>
      <c r="AS282" s="20">
        <v>3.6545000000000001</v>
      </c>
      <c r="AT282" s="20">
        <v>2.1499000000000001</v>
      </c>
      <c r="AU282" s="20">
        <v>2.4727999999999999</v>
      </c>
      <c r="AV282" s="20">
        <v>2.1341999999999999</v>
      </c>
      <c r="AW282" s="6"/>
      <c r="AX282" s="18">
        <v>5.7409999999999999E-19</v>
      </c>
      <c r="AY282" s="18">
        <v>1.9520000000000001E-23</v>
      </c>
      <c r="AZ282" s="18">
        <v>4.5890000000000003E-11</v>
      </c>
      <c r="BA282" s="18">
        <v>4.6219999999999998E-14</v>
      </c>
      <c r="BB282" s="18">
        <v>8.3180000000000003E-17</v>
      </c>
      <c r="BC282" s="18">
        <v>7.8359999999999995E-8</v>
      </c>
      <c r="BD282" s="18">
        <v>4.5619999999999998E-9</v>
      </c>
      <c r="BE282" s="18">
        <v>1.111E-7</v>
      </c>
      <c r="BF282" s="13"/>
      <c r="BG282" t="s">
        <v>1275</v>
      </c>
      <c r="BH282" t="s">
        <v>1132</v>
      </c>
      <c r="BI282" t="s">
        <v>1113</v>
      </c>
      <c r="BJ282" t="s">
        <v>1251</v>
      </c>
      <c r="BK282" t="s">
        <v>1115</v>
      </c>
      <c r="BL282" t="s">
        <v>1116</v>
      </c>
      <c r="BM282" t="s">
        <v>1117</v>
      </c>
      <c r="BN282" s="13"/>
      <c r="BO282" t="s">
        <v>973</v>
      </c>
      <c r="BP282" t="s">
        <v>973</v>
      </c>
      <c r="BQ282" t="s">
        <v>973</v>
      </c>
      <c r="BR282" t="s">
        <v>973</v>
      </c>
    </row>
    <row r="283" spans="1:70" x14ac:dyDescent="0.25">
      <c r="A283" t="s">
        <v>405</v>
      </c>
      <c r="B283" t="s">
        <v>406</v>
      </c>
      <c r="C283" t="s">
        <v>32</v>
      </c>
      <c r="D283" s="6"/>
      <c r="E283" s="9" t="str">
        <f>HYPERLINK("http://plants.ensembl.org/Triticum_aestivum/Gene/Summary?g=TRIAE_CS42_3DS_TGACv1_271693_AA0905750","TRIAE_CS42_3DS_TGACv1_271693_AA0905750")</f>
        <v>TRIAE_CS42_3DS_TGACv1_271693_AA0905750</v>
      </c>
      <c r="H283" s="8" t="str">
        <f>HYPERLINK("http://plants.ensembl.org/Brachypodium_distachyon/Gene/Summary?g=Bradi2g02100","Bradi2g02100")</f>
        <v>Bradi2g02100</v>
      </c>
      <c r="I283" s="1" t="s">
        <v>1051</v>
      </c>
      <c r="J283" s="9" t="str">
        <f>HYPERLINK("http://plants.ensembl.org/Oryza_sativa/Gene/Summary?db=otherfeatures;g=LOC_Os01g04020","LOC_Os01g04020")</f>
        <v>LOC_Os01g04020</v>
      </c>
      <c r="L283" s="6"/>
      <c r="M283" s="1" t="s">
        <v>973</v>
      </c>
      <c r="N283" s="1" t="s">
        <v>973</v>
      </c>
      <c r="O283" s="1">
        <v>1</v>
      </c>
      <c r="P283" s="1" t="s">
        <v>973</v>
      </c>
      <c r="Q283" s="1" t="s">
        <v>973</v>
      </c>
      <c r="R283" s="1" t="s">
        <v>973</v>
      </c>
      <c r="S283" s="1"/>
      <c r="T283" s="6"/>
      <c r="U283" s="11">
        <v>8.667852987860071</v>
      </c>
      <c r="V283" s="11">
        <v>7.5851801408996717</v>
      </c>
      <c r="W283" s="11">
        <v>8.4213488491939046</v>
      </c>
      <c r="X283" s="11">
        <v>8.0284356245327118</v>
      </c>
      <c r="Y283" s="11">
        <v>8.5565338992477464</v>
      </c>
      <c r="Z283" s="11">
        <v>8.0695618309637123</v>
      </c>
      <c r="AA283" s="11">
        <v>9.6627839526250501</v>
      </c>
      <c r="AB283" s="11">
        <v>8.1845084253496907</v>
      </c>
      <c r="AC283" s="11">
        <v>7.961548089500889</v>
      </c>
      <c r="AD283" s="11">
        <v>8.3710456388604904</v>
      </c>
      <c r="AE283" s="11">
        <v>7.9887191444311956</v>
      </c>
      <c r="AF283" s="11">
        <v>7.936303626848499</v>
      </c>
      <c r="AG283" s="11">
        <v>8.124556984756369</v>
      </c>
      <c r="AH283" s="11">
        <v>7.9627955817865663</v>
      </c>
      <c r="AI283" s="11">
        <v>8.2980176475235883</v>
      </c>
      <c r="AJ283" s="11">
        <v>7.6290209236954842</v>
      </c>
      <c r="AK283" s="6"/>
      <c r="AL283" t="s">
        <v>1095</v>
      </c>
      <c r="AM283">
        <v>0</v>
      </c>
      <c r="AN283" s="6"/>
      <c r="AO283" s="20">
        <v>0.71220000000000006</v>
      </c>
      <c r="AP283" s="20">
        <v>-0.77170000000000005</v>
      </c>
      <c r="AQ283" s="20">
        <v>0.43090000000000001</v>
      </c>
      <c r="AR283" s="20">
        <v>8.6699999999999999E-2</v>
      </c>
      <c r="AS283" s="20">
        <v>0.42930000000000001</v>
      </c>
      <c r="AT283" s="20">
        <v>0.1079</v>
      </c>
      <c r="AU283" s="20">
        <v>1.3573999999999999</v>
      </c>
      <c r="AV283" s="20">
        <v>0.55349999999999999</v>
      </c>
      <c r="AW283" s="6"/>
      <c r="AX283" s="18">
        <v>6.4369999999999997E-2</v>
      </c>
      <c r="AY283" s="18">
        <v>5.688E-2</v>
      </c>
      <c r="AZ283" s="18">
        <v>0.25840000000000002</v>
      </c>
      <c r="BA283" s="18">
        <v>0.82069999999999999</v>
      </c>
      <c r="BB283" s="18">
        <v>0.25900000000000001</v>
      </c>
      <c r="BC283" s="18">
        <v>0.77769999999999995</v>
      </c>
      <c r="BD283" s="18">
        <v>3.4650000000000002E-4</v>
      </c>
      <c r="BE283" s="18">
        <v>0.14829999999999999</v>
      </c>
      <c r="BF283" s="13"/>
      <c r="BG283" t="s">
        <v>1250</v>
      </c>
      <c r="BH283" t="s">
        <v>1112</v>
      </c>
      <c r="BI283" t="s">
        <v>1113</v>
      </c>
      <c r="BJ283" t="s">
        <v>1237</v>
      </c>
      <c r="BK283" t="s">
        <v>1115</v>
      </c>
      <c r="BL283" t="s">
        <v>1218</v>
      </c>
      <c r="BM283" t="s">
        <v>1117</v>
      </c>
      <c r="BN283" s="13"/>
      <c r="BO283" t="s">
        <v>973</v>
      </c>
      <c r="BP283" t="s">
        <v>973</v>
      </c>
      <c r="BQ283" t="s">
        <v>973</v>
      </c>
      <c r="BR283" t="s">
        <v>973</v>
      </c>
    </row>
    <row r="284" spans="1:70" x14ac:dyDescent="0.25">
      <c r="A284" t="s">
        <v>434</v>
      </c>
      <c r="B284" t="s">
        <v>342</v>
      </c>
      <c r="C284" t="s">
        <v>32</v>
      </c>
      <c r="D284" s="6"/>
      <c r="E284" s="9" t="str">
        <f>HYPERLINK("http://plants.ensembl.org/Triticum_aestivum/Gene/Summary?g=TRIAE_CS42_3DL_TGACv1_250564_AA0870320","TRIAE_CS42_3DL_TGACv1_250564_AA0870320")</f>
        <v>TRIAE_CS42_3DL_TGACv1_250564_AA0870320</v>
      </c>
      <c r="H284" s="8" t="str">
        <f>HYPERLINK("http://plants.ensembl.org/Brachypodium_distachyon/Gene/Summary?g=Bradi2g56145","Bradi2g56145")</f>
        <v>Bradi2g56145</v>
      </c>
      <c r="I284" s="1" t="s">
        <v>1051</v>
      </c>
      <c r="J284" s="9" t="str">
        <f>HYPERLINK("http://plants.ensembl.org/Oryza_sativa/Gene/Summary?db=otherfeatures;g=LOC_Os01g64790","LOC_Os01g64790")</f>
        <v>LOC_Os01g64790</v>
      </c>
      <c r="L284" s="6"/>
      <c r="M284" s="1" t="s">
        <v>973</v>
      </c>
      <c r="N284" s="1" t="s">
        <v>973</v>
      </c>
      <c r="O284" s="1">
        <v>1</v>
      </c>
      <c r="P284" s="1" t="s">
        <v>973</v>
      </c>
      <c r="Q284" s="1" t="s">
        <v>973</v>
      </c>
      <c r="R284" s="1" t="s">
        <v>973</v>
      </c>
      <c r="S284" s="1"/>
      <c r="T284" s="6"/>
      <c r="U284" s="11">
        <v>7.1300882968897259</v>
      </c>
      <c r="V284" s="11">
        <v>8.4272695381872396</v>
      </c>
      <c r="W284" s="11">
        <v>5.6927740296238216</v>
      </c>
      <c r="X284" s="11">
        <v>6.5746429723006603</v>
      </c>
      <c r="Y284" s="11">
        <v>6.1544434659102727</v>
      </c>
      <c r="Z284" s="11">
        <v>6.3715002011137525</v>
      </c>
      <c r="AA284" s="11">
        <v>5.6408551503187443</v>
      </c>
      <c r="AB284" s="11">
        <v>6.0096420298043602</v>
      </c>
      <c r="AC284" s="11">
        <v>2.5729139151923048</v>
      </c>
      <c r="AD284" s="11">
        <v>2.6240696924514819</v>
      </c>
      <c r="AE284" s="11">
        <v>2.2802535957486132</v>
      </c>
      <c r="AF284" s="11">
        <v>2.3970453708999959</v>
      </c>
      <c r="AG284" s="11">
        <v>1.5586594844121586</v>
      </c>
      <c r="AH284" s="11">
        <v>3.6404898240689683</v>
      </c>
      <c r="AI284" s="11">
        <v>2.6189981810309315</v>
      </c>
      <c r="AJ284" s="11">
        <v>3.2133420968362856</v>
      </c>
      <c r="AK284" s="6"/>
      <c r="AL284" t="s">
        <v>1077</v>
      </c>
      <c r="AM284">
        <v>853</v>
      </c>
      <c r="AN284" s="6"/>
      <c r="AO284" s="20">
        <v>4.7599</v>
      </c>
      <c r="AP284" s="20">
        <v>5.5358000000000001</v>
      </c>
      <c r="AQ284" s="20">
        <v>3.6671999999999998</v>
      </c>
      <c r="AR284" s="20">
        <v>4.2826000000000004</v>
      </c>
      <c r="AS284" s="20">
        <v>5.0147000000000004</v>
      </c>
      <c r="AT284" s="20">
        <v>2.8047</v>
      </c>
      <c r="AU284" s="20">
        <v>3.1951000000000001</v>
      </c>
      <c r="AV284" s="20">
        <v>2.8990999999999998</v>
      </c>
      <c r="AW284" s="6"/>
      <c r="AX284" s="18">
        <v>2.412E-16</v>
      </c>
      <c r="AY284" s="18">
        <v>1.083E-19</v>
      </c>
      <c r="AZ284" s="18">
        <v>6.0729999999999996E-10</v>
      </c>
      <c r="BA284" s="18">
        <v>1.1499999999999999E-13</v>
      </c>
      <c r="BB284" s="18">
        <v>3.2840000000000002E-16</v>
      </c>
      <c r="BC284" s="18">
        <v>5.8220000000000001E-8</v>
      </c>
      <c r="BD284" s="18">
        <v>1.167E-8</v>
      </c>
      <c r="BE284" s="18">
        <v>4.252E-8</v>
      </c>
      <c r="BF284" s="13"/>
      <c r="BG284" t="s">
        <v>1191</v>
      </c>
      <c r="BH284" t="s">
        <v>1144</v>
      </c>
      <c r="BI284" t="s">
        <v>1113</v>
      </c>
      <c r="BJ284" t="s">
        <v>1127</v>
      </c>
      <c r="BK284" t="s">
        <v>1115</v>
      </c>
      <c r="BL284" t="s">
        <v>1116</v>
      </c>
      <c r="BM284" t="s">
        <v>1117</v>
      </c>
      <c r="BN284" s="13"/>
      <c r="BO284" t="s">
        <v>973</v>
      </c>
      <c r="BP284" t="s">
        <v>973</v>
      </c>
      <c r="BQ284" t="s">
        <v>973</v>
      </c>
      <c r="BR284" t="s">
        <v>973</v>
      </c>
    </row>
    <row r="285" spans="1:70" x14ac:dyDescent="0.25">
      <c r="A285" t="s">
        <v>435</v>
      </c>
      <c r="B285" t="s">
        <v>346</v>
      </c>
      <c r="C285" t="s">
        <v>32</v>
      </c>
      <c r="D285" s="6"/>
      <c r="E285" s="9" t="str">
        <f>HYPERLINK("http://plants.ensembl.org/Triticum_aestivum/Gene/Summary?g=TRIAE_CS42_3DL_TGACv1_249456_AA0849160","TRIAE_CS42_3DL_TGACv1_249456_AA0849160")</f>
        <v>TRIAE_CS42_3DL_TGACv1_249456_AA0849160</v>
      </c>
      <c r="H285" s="8" t="str">
        <f>HYPERLINK("http://plants.ensembl.org/Brachypodium_distachyon/Gene/Summary?g=Bradi2g57201","Bradi2g57201")</f>
        <v>Bradi2g57201</v>
      </c>
      <c r="I285" s="8" t="str">
        <f>HYPERLINK("http://plants.ensembl.org/Arabidopsis_thaliana/Gene/Summary?g=AT1G71520","AT1G71520")</f>
        <v>AT1G71520</v>
      </c>
      <c r="J285" s="9" t="str">
        <f>HYPERLINK("http://plants.ensembl.org/Oryza_sativa/Gene/Summary?db=otherfeatures;g=LOC_Os01g66270","LOC_Os01g66270")</f>
        <v>LOC_Os01g66270</v>
      </c>
      <c r="L285" s="6"/>
      <c r="M285" s="1" t="s">
        <v>973</v>
      </c>
      <c r="N285" s="1" t="s">
        <v>973</v>
      </c>
      <c r="O285" s="1">
        <v>1</v>
      </c>
      <c r="P285" s="1" t="s">
        <v>973</v>
      </c>
      <c r="Q285" s="1" t="s">
        <v>973</v>
      </c>
      <c r="R285" s="1" t="s">
        <v>973</v>
      </c>
      <c r="S285" s="1"/>
      <c r="T285" s="6"/>
      <c r="U285" s="11">
        <v>6.4478039802801659</v>
      </c>
      <c r="V285" s="11">
        <v>7.4405882125881746</v>
      </c>
      <c r="W285" s="11">
        <v>4.1227251694699465</v>
      </c>
      <c r="X285" s="11">
        <v>3.6472991575629181</v>
      </c>
      <c r="Y285" s="11">
        <v>5.0885020559459306</v>
      </c>
      <c r="Z285" s="11">
        <v>3.9439275760311383</v>
      </c>
      <c r="AA285" s="11">
        <v>4.2677055756569233</v>
      </c>
      <c r="AB285" s="11">
        <v>4.2545915236556953</v>
      </c>
      <c r="AC285" s="11">
        <v>0.29003113821181103</v>
      </c>
      <c r="AD285" s="11">
        <v>0</v>
      </c>
      <c r="AE285" s="11">
        <v>0.29721098503322341</v>
      </c>
      <c r="AF285" s="11">
        <v>0</v>
      </c>
      <c r="AG285" s="11">
        <v>0</v>
      </c>
      <c r="AH285" s="11">
        <v>0</v>
      </c>
      <c r="AI285" s="11">
        <v>0.36930826942372325</v>
      </c>
      <c r="AJ285" s="11">
        <v>0</v>
      </c>
      <c r="AK285" s="6"/>
      <c r="AL285" t="s">
        <v>1077</v>
      </c>
      <c r="AM285" s="12">
        <v>5007</v>
      </c>
      <c r="AN285" s="6"/>
      <c r="AO285" s="20">
        <v>7.5894000000000004</v>
      </c>
      <c r="AP285" s="20">
        <v>8.3971999999999998</v>
      </c>
      <c r="AQ285" s="20">
        <v>5.3555000000000001</v>
      </c>
      <c r="AR285" s="20">
        <v>5.5987999999999998</v>
      </c>
      <c r="AS285" s="20">
        <v>7.6913999999999998</v>
      </c>
      <c r="AT285" s="20">
        <v>5.8639000000000001</v>
      </c>
      <c r="AU285" s="20">
        <v>5.5513000000000003</v>
      </c>
      <c r="AV285" s="20">
        <v>6.3704000000000001</v>
      </c>
      <c r="AW285" s="6"/>
      <c r="AX285" s="18">
        <v>1.8850000000000001E-11</v>
      </c>
      <c r="AY285" s="18">
        <v>4.5859999999999998E-13</v>
      </c>
      <c r="AZ285" s="18">
        <v>3.3440000000000001E-6</v>
      </c>
      <c r="BA285" s="18">
        <v>1.858E-6</v>
      </c>
      <c r="BB285" s="18">
        <v>3.557E-11</v>
      </c>
      <c r="BC285" s="18">
        <v>5.2249999999999997E-7</v>
      </c>
      <c r="BD285" s="18">
        <v>1.525E-6</v>
      </c>
      <c r="BE285" s="18">
        <v>4.9880000000000001E-8</v>
      </c>
      <c r="BF285" s="13"/>
      <c r="BG285" t="s">
        <v>1125</v>
      </c>
      <c r="BH285" t="s">
        <v>1126</v>
      </c>
      <c r="BI285" t="s">
        <v>1113</v>
      </c>
      <c r="BJ285" t="s">
        <v>1114</v>
      </c>
      <c r="BK285" t="s">
        <v>1115</v>
      </c>
      <c r="BL285" t="s">
        <v>1116</v>
      </c>
      <c r="BM285" t="s">
        <v>1117</v>
      </c>
      <c r="BN285" s="13"/>
      <c r="BO285" t="s">
        <v>973</v>
      </c>
      <c r="BP285">
        <v>1</v>
      </c>
      <c r="BQ285" t="s">
        <v>973</v>
      </c>
      <c r="BR285" t="s">
        <v>973</v>
      </c>
    </row>
    <row r="286" spans="1:70" x14ac:dyDescent="0.25">
      <c r="A286" t="s">
        <v>449</v>
      </c>
      <c r="B286" t="s">
        <v>282</v>
      </c>
      <c r="C286" t="s">
        <v>32</v>
      </c>
      <c r="D286" s="6"/>
      <c r="E286" s="9" t="str">
        <f>HYPERLINK("http://plants.ensembl.org/Triticum_aestivum/Gene/Summary?g=TRIAE_CS42_4AS_TGACv1_306883_AA1014550","TRIAE_CS42_4AS_TGACv1_306883_AA1014550")</f>
        <v>TRIAE_CS42_4AS_TGACv1_306883_AA1014550</v>
      </c>
      <c r="F286" s="9" t="str">
        <f>HYPERLINK("http://mar2016-plants.ensembl.org/Triticum_aestivum/Gene/Summary?db=core;g=Traes_4AS_9450AD3F4","Traes_4AS_9450AD3F4")</f>
        <v>Traes_4AS_9450AD3F4</v>
      </c>
      <c r="H286" s="8" t="str">
        <f>HYPERLINK("http://plants.ensembl.org/Brachypodium_distachyon/Gene/Summary?g=Bradi4g38932","Bradi4g38932")</f>
        <v>Bradi4g38932</v>
      </c>
      <c r="I286" s="1" t="s">
        <v>1051</v>
      </c>
      <c r="J286" s="9" t="str">
        <f>HYPERLINK("http://plants.ensembl.org/Oryza_sativa/Gene/Summary?db=otherfeatures;g=LOC_Os05g37640","LOC_Os05g37640")</f>
        <v>LOC_Os05g37640</v>
      </c>
      <c r="L286" s="6"/>
      <c r="M286" s="1" t="s">
        <v>973</v>
      </c>
      <c r="N286" s="1" t="s">
        <v>973</v>
      </c>
      <c r="O286" s="1">
        <v>1</v>
      </c>
      <c r="P286" s="1" t="s">
        <v>973</v>
      </c>
      <c r="Q286" s="1" t="s">
        <v>973</v>
      </c>
      <c r="R286" s="1" t="s">
        <v>973</v>
      </c>
      <c r="S286" s="1"/>
      <c r="T286" s="6"/>
      <c r="U286" s="11">
        <v>9.0145780929983683</v>
      </c>
      <c r="V286" s="11">
        <v>8.8793241946984356</v>
      </c>
      <c r="W286" s="11">
        <v>6.6956445072698969</v>
      </c>
      <c r="X286" s="11">
        <v>6.8020557493060787</v>
      </c>
      <c r="Y286" s="11">
        <v>6.7235763083685622</v>
      </c>
      <c r="Z286" s="11">
        <v>6.8584506237054947</v>
      </c>
      <c r="AA286" s="11">
        <v>5.6576990683758046</v>
      </c>
      <c r="AB286" s="11">
        <v>6.9834747729394246</v>
      </c>
      <c r="AC286" s="11">
        <v>2.118525848935668</v>
      </c>
      <c r="AD286" s="11">
        <v>0.95776605095566214</v>
      </c>
      <c r="AE286" s="11">
        <v>0.79429801977999404</v>
      </c>
      <c r="AF286" s="11">
        <v>0</v>
      </c>
      <c r="AG286" s="11">
        <v>1.7937433184098026</v>
      </c>
      <c r="AH286" s="11">
        <v>0</v>
      </c>
      <c r="AI286" s="11">
        <v>1.7088640879003816</v>
      </c>
      <c r="AJ286" s="11">
        <v>0.5959173456275324</v>
      </c>
      <c r="AK286" s="6"/>
      <c r="AL286" t="s">
        <v>1077</v>
      </c>
      <c r="AM286">
        <v>1215</v>
      </c>
      <c r="AN286" s="6"/>
      <c r="AO286" s="20">
        <v>7.2946</v>
      </c>
      <c r="AP286" s="20">
        <v>8.0395000000000003</v>
      </c>
      <c r="AQ286" s="20">
        <v>6.6890999999999998</v>
      </c>
      <c r="AR286" s="20">
        <v>8.5645000000000007</v>
      </c>
      <c r="AS286" s="20">
        <v>5.2236000000000002</v>
      </c>
      <c r="AT286" s="20">
        <v>8.5671999999999997</v>
      </c>
      <c r="AU286" s="20">
        <v>4.3089000000000004</v>
      </c>
      <c r="AV286" s="20">
        <v>7.4417</v>
      </c>
      <c r="AW286" s="6"/>
      <c r="AX286" s="18">
        <v>1.961E-25</v>
      </c>
      <c r="AY286" s="18">
        <v>7.4739999999999997E-20</v>
      </c>
      <c r="AZ286" s="18">
        <v>6.7379999999999999E-14</v>
      </c>
      <c r="BA286" s="18">
        <v>1.2379999999999999E-13</v>
      </c>
      <c r="BB286" s="18">
        <v>2.077E-15</v>
      </c>
      <c r="BC286" s="18">
        <v>1.2009999999999999E-13</v>
      </c>
      <c r="BD286" s="18">
        <v>1.5429999999999999E-9</v>
      </c>
      <c r="BE286" s="18">
        <v>1.5769999999999999E-14</v>
      </c>
      <c r="BF286" s="13"/>
      <c r="BG286" t="s">
        <v>1190</v>
      </c>
      <c r="BH286" t="s">
        <v>1132</v>
      </c>
      <c r="BI286" t="s">
        <v>1113</v>
      </c>
      <c r="BJ286" t="s">
        <v>1114</v>
      </c>
      <c r="BK286" t="s">
        <v>1115</v>
      </c>
      <c r="BL286" t="s">
        <v>1116</v>
      </c>
      <c r="BM286" t="s">
        <v>1117</v>
      </c>
      <c r="BN286" s="13"/>
      <c r="BO286" t="s">
        <v>973</v>
      </c>
      <c r="BP286" t="s">
        <v>973</v>
      </c>
      <c r="BQ286" t="s">
        <v>973</v>
      </c>
      <c r="BR286" t="s">
        <v>973</v>
      </c>
    </row>
    <row r="287" spans="1:70" x14ac:dyDescent="0.25">
      <c r="A287" t="s">
        <v>450</v>
      </c>
      <c r="B287" t="s">
        <v>451</v>
      </c>
      <c r="C287" t="s">
        <v>32</v>
      </c>
      <c r="D287" s="6"/>
      <c r="E287" s="9" t="str">
        <f>HYPERLINK("http://plants.ensembl.org/Triticum_aestivum/Gene/Summary?g=TRIAE_CS42_4AS_TGACv1_308618_AA1028700","TRIAE_CS42_4AS_TGACv1_308618_AA1028700")</f>
        <v>TRIAE_CS42_4AS_TGACv1_308618_AA1028700</v>
      </c>
      <c r="F287" s="9" t="str">
        <f>HYPERLINK("http://mar2016-plants.ensembl.org/Triticum_aestivum/Gene/Summary?db=core;g=Traes_4AS_FA4BBDBF9","Traes_4AS_FA4BBDBF9")</f>
        <v>Traes_4AS_FA4BBDBF9</v>
      </c>
      <c r="G287" t="s">
        <v>1001</v>
      </c>
      <c r="H287" s="8" t="str">
        <f>HYPERLINK("http://plants.ensembl.org/Brachypodium_distachyon/Gene/Summary?g=Bradi4g38941","Bradi4g38941")</f>
        <v>Bradi4g38941</v>
      </c>
      <c r="I287" s="8" t="str">
        <f>HYPERLINK("http://plants.ensembl.org/Arabidopsis_thaliana/Gene/Summary?g=AT5G43410","AT5G43410")</f>
        <v>AT5G43410</v>
      </c>
      <c r="J287" s="9" t="str">
        <f>HYPERLINK("http://plants.ensembl.org/Oryza_sativa/Gene/Summary?db=otherfeatures;g=LOC_Os09g39810","LOC_Os09g39810")</f>
        <v>LOC_Os09g39810</v>
      </c>
      <c r="K287" s="9" t="str">
        <f>HYPERLINK("http://plants.ensembl.org/Zea_mays/Gene/Summary?db=otherfeatures;g=GRMZM2G060517","GRMZM2G060517")</f>
        <v>GRMZM2G060517</v>
      </c>
      <c r="L287" s="6"/>
      <c r="M287" t="s">
        <v>973</v>
      </c>
      <c r="N287" t="s">
        <v>973</v>
      </c>
      <c r="O287">
        <v>1</v>
      </c>
      <c r="P287" t="s">
        <v>973</v>
      </c>
      <c r="S287" t="s">
        <v>973</v>
      </c>
      <c r="T287" s="6"/>
      <c r="U287" s="11">
        <v>5.7196142493867868</v>
      </c>
      <c r="V287" s="11">
        <v>6.8847155360520347</v>
      </c>
      <c r="W287" s="11">
        <v>2.2488687546775816</v>
      </c>
      <c r="X287" s="11">
        <v>2.0314422501409641</v>
      </c>
      <c r="Y287" s="11">
        <v>2.2467931599228752</v>
      </c>
      <c r="Z287" s="11">
        <v>1.9419201020222496</v>
      </c>
      <c r="AA287" s="11">
        <v>4.1850339810634196</v>
      </c>
      <c r="AB287" s="11">
        <v>3.5774207710775952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6"/>
      <c r="AL287" t="s">
        <v>1077</v>
      </c>
      <c r="AM287">
        <v>49</v>
      </c>
      <c r="AN287" s="6"/>
      <c r="AO287" s="20">
        <v>7.76</v>
      </c>
      <c r="AP287" s="20">
        <v>7.9657999999999998</v>
      </c>
      <c r="AQ287" s="20">
        <v>4.1696999999999997</v>
      </c>
      <c r="AR287" s="20">
        <v>3.8142999999999998</v>
      </c>
      <c r="AS287" s="20">
        <v>4.6536</v>
      </c>
      <c r="AT287" s="20">
        <v>3.6579999999999999</v>
      </c>
      <c r="AU287" s="20">
        <v>6.4069000000000003</v>
      </c>
      <c r="AV287" s="20">
        <v>5.7529000000000003</v>
      </c>
      <c r="AW287" s="6"/>
      <c r="AX287" s="18">
        <v>4.6589999999999998E-11</v>
      </c>
      <c r="AY287" s="18">
        <v>1.382E-11</v>
      </c>
      <c r="AZ287" s="18">
        <v>6.2480000000000001E-4</v>
      </c>
      <c r="BA287" s="18">
        <v>2.0590000000000001E-3</v>
      </c>
      <c r="BB287" s="18">
        <v>1.562E-4</v>
      </c>
      <c r="BC287" s="18">
        <v>3.0370000000000002E-3</v>
      </c>
      <c r="BD287" s="18">
        <v>5.2369999999999998E-8</v>
      </c>
      <c r="BE287" s="18">
        <v>1.35E-6</v>
      </c>
      <c r="BF287" s="13"/>
      <c r="BG287" t="s">
        <v>1125</v>
      </c>
      <c r="BH287" t="s">
        <v>1126</v>
      </c>
      <c r="BI287" t="s">
        <v>1113</v>
      </c>
      <c r="BJ287" t="s">
        <v>1114</v>
      </c>
      <c r="BK287" t="s">
        <v>1115</v>
      </c>
      <c r="BL287" t="s">
        <v>1116</v>
      </c>
      <c r="BM287" t="s">
        <v>1117</v>
      </c>
      <c r="BN287" s="13"/>
      <c r="BO287" t="s">
        <v>973</v>
      </c>
      <c r="BP287">
        <v>1</v>
      </c>
      <c r="BQ287" t="s">
        <v>973</v>
      </c>
      <c r="BR287" t="s">
        <v>973</v>
      </c>
    </row>
    <row r="288" spans="1:70" x14ac:dyDescent="0.25">
      <c r="A288" t="s">
        <v>460</v>
      </c>
      <c r="B288" t="s">
        <v>461</v>
      </c>
      <c r="C288" t="s">
        <v>462</v>
      </c>
      <c r="D288" s="6"/>
      <c r="E288" s="9" t="str">
        <f>HYPERLINK("http://plants.ensembl.org/Triticum_aestivum/Gene/Summary?g=TRIAE_CS42_4AS_TGACv1_307304_AA1019300","TRIAE_CS42_4AS_TGACv1_307304_AA1019300")</f>
        <v>TRIAE_CS42_4AS_TGACv1_307304_AA1019300</v>
      </c>
      <c r="F288" s="9" t="str">
        <f>HYPERLINK("http://mar2016-plants.ensembl.org/Triticum_aestivum/Gene/Summary?db=core;g=Traes_4AS_1E79E1072","Traes_4AS_1E79E1072")</f>
        <v>Traes_4AS_1E79E1072</v>
      </c>
      <c r="G288" t="s">
        <v>1002</v>
      </c>
      <c r="H288" s="8" t="str">
        <f>HYPERLINK("http://plants.ensembl.org/Brachypodium_distachyon/Gene/Summary?g=Bradi1g71740","Bradi1g71740")</f>
        <v>Bradi1g71740</v>
      </c>
      <c r="I288" s="1" t="s">
        <v>1051</v>
      </c>
      <c r="J288" s="9" t="str">
        <f>HYPERLINK("http://plants.ensembl.org/Oryza_sativa/Gene/Summary?db=otherfeatures;g=LOC_Os03g09170","LOC_Os03g09170")</f>
        <v>LOC_Os03g09170</v>
      </c>
      <c r="K288" s="9" t="str">
        <f>HYPERLINK("http://plants.ensembl.org/Zea_mays/Gene/Summary?db=otherfeatures;g=GRMZM2G003466","GRMZM2G003466")</f>
        <v>GRMZM2G003466</v>
      </c>
      <c r="L288" s="6"/>
      <c r="M288" t="s">
        <v>973</v>
      </c>
      <c r="N288" t="s">
        <v>973</v>
      </c>
      <c r="O288">
        <v>1</v>
      </c>
      <c r="P288" t="s">
        <v>973</v>
      </c>
      <c r="S288" t="s">
        <v>973</v>
      </c>
      <c r="T288" s="6"/>
      <c r="U288" s="11">
        <v>6.8267196515264592</v>
      </c>
      <c r="V288" s="11">
        <v>9.8548610607074281</v>
      </c>
      <c r="W288" s="11">
        <v>4.2927596669918966</v>
      </c>
      <c r="X288" s="11">
        <v>7.5611812588073262</v>
      </c>
      <c r="Y288" s="11">
        <v>5.435919681520927</v>
      </c>
      <c r="Z288" s="11">
        <v>7.3204624140335444</v>
      </c>
      <c r="AA288" s="11">
        <v>6.5045880849942739</v>
      </c>
      <c r="AB288" s="11">
        <v>6.5209381528646926</v>
      </c>
      <c r="AC288" s="11">
        <v>3.7345904066961992</v>
      </c>
      <c r="AD288" s="11">
        <v>3.2694022535667342</v>
      </c>
      <c r="AE288" s="11">
        <v>3.7783522779307503</v>
      </c>
      <c r="AF288" s="11">
        <v>5.3269183924976886</v>
      </c>
      <c r="AG288" s="11">
        <v>3.8770603616598454</v>
      </c>
      <c r="AH288" s="11">
        <v>2.7464345984181948</v>
      </c>
      <c r="AI288" s="11">
        <v>4.7098181303536695</v>
      </c>
      <c r="AJ288" s="11">
        <v>6.3984182117223147</v>
      </c>
      <c r="AK288" s="6"/>
      <c r="AL288" t="s">
        <v>1077</v>
      </c>
      <c r="AM288">
        <v>0</v>
      </c>
      <c r="AN288" s="6"/>
      <c r="AO288" s="20">
        <v>3.1227</v>
      </c>
      <c r="AP288" s="20">
        <v>6.5571000000000002</v>
      </c>
      <c r="AQ288" s="20">
        <v>0.52969999999999995</v>
      </c>
      <c r="AR288" s="20">
        <v>2.1916000000000002</v>
      </c>
      <c r="AS288" s="20">
        <v>1.5944</v>
      </c>
      <c r="AT288" s="20">
        <v>4.6717000000000004</v>
      </c>
      <c r="AU288" s="20">
        <v>1.7892999999999999</v>
      </c>
      <c r="AV288" s="20">
        <v>0.1207</v>
      </c>
      <c r="AW288" s="6"/>
      <c r="AX288" s="18">
        <v>4.6530000000000002E-6</v>
      </c>
      <c r="AY288" s="18">
        <v>6.3749999999999998E-19</v>
      </c>
      <c r="AZ288" s="18">
        <v>0.4385</v>
      </c>
      <c r="BA288" s="18">
        <v>7.337E-4</v>
      </c>
      <c r="BB288" s="18">
        <v>1.6490000000000001E-2</v>
      </c>
      <c r="BC288" s="18">
        <v>4.0210000000000003E-11</v>
      </c>
      <c r="BD288" s="18">
        <v>6.2249999999999996E-3</v>
      </c>
      <c r="BE288" s="18">
        <v>0.85170000000000001</v>
      </c>
      <c r="BF288" s="13"/>
      <c r="BG288" t="s">
        <v>1266</v>
      </c>
      <c r="BH288" t="s">
        <v>1211</v>
      </c>
      <c r="BI288" t="s">
        <v>1113</v>
      </c>
      <c r="BJ288" t="s">
        <v>1277</v>
      </c>
      <c r="BK288" t="s">
        <v>1115</v>
      </c>
      <c r="BL288" t="s">
        <v>1116</v>
      </c>
      <c r="BM288" t="s">
        <v>1117</v>
      </c>
      <c r="BN288" s="13"/>
      <c r="BO288" t="s">
        <v>973</v>
      </c>
      <c r="BP288" t="s">
        <v>973</v>
      </c>
      <c r="BQ288" t="s">
        <v>973</v>
      </c>
      <c r="BR288" t="s">
        <v>973</v>
      </c>
    </row>
    <row r="289" spans="1:70" x14ac:dyDescent="0.25">
      <c r="A289" t="s">
        <v>510</v>
      </c>
      <c r="B289" t="s">
        <v>511</v>
      </c>
      <c r="C289" t="s">
        <v>32</v>
      </c>
      <c r="D289" s="6"/>
      <c r="E289" s="9" t="str">
        <f>HYPERLINK("http://plants.ensembl.org/Triticum_aestivum/Gene/Summary?g=TRIAE_CS42_4AL_TGACv1_288481_AA0949930","TRIAE_CS42_4AL_TGACv1_288481_AA0949930")</f>
        <v>TRIAE_CS42_4AL_TGACv1_288481_AA0949930</v>
      </c>
      <c r="H289" s="1" t="s">
        <v>1051</v>
      </c>
      <c r="I289" s="1" t="s">
        <v>1051</v>
      </c>
      <c r="J289" s="1" t="s">
        <v>1051</v>
      </c>
      <c r="L289" s="6"/>
      <c r="M289" s="1" t="s">
        <v>973</v>
      </c>
      <c r="N289" s="1" t="s">
        <v>973</v>
      </c>
      <c r="O289" s="1">
        <v>1</v>
      </c>
      <c r="P289" s="1" t="s">
        <v>973</v>
      </c>
      <c r="Q289" s="1" t="s">
        <v>973</v>
      </c>
      <c r="R289" s="1" t="s">
        <v>973</v>
      </c>
      <c r="S289" s="1"/>
      <c r="T289" s="6"/>
      <c r="U289" s="11">
        <v>10.316032121963662</v>
      </c>
      <c r="V289" s="11">
        <v>10.5649954832245</v>
      </c>
      <c r="W289" s="11">
        <v>8.6323260239460264</v>
      </c>
      <c r="X289" s="11">
        <v>8.8493972814412505</v>
      </c>
      <c r="Y289" s="11">
        <v>9.5693243709663314</v>
      </c>
      <c r="Z289" s="11">
        <v>8.8740813415141133</v>
      </c>
      <c r="AA289" s="11">
        <v>8.7323164653536409</v>
      </c>
      <c r="AB289" s="11">
        <v>8.5020555293937292</v>
      </c>
      <c r="AC289" s="11">
        <v>3.2610342862595947</v>
      </c>
      <c r="AD289" s="11">
        <v>1.2070390565301843</v>
      </c>
      <c r="AE289" s="11">
        <v>1.6673623208916608</v>
      </c>
      <c r="AF289" s="11">
        <v>0.25801633106716926</v>
      </c>
      <c r="AG289" s="11">
        <v>0.31490916854998957</v>
      </c>
      <c r="AH289" s="11">
        <v>1.201131966907887</v>
      </c>
      <c r="AI289" s="11">
        <v>1.9458074394465243</v>
      </c>
      <c r="AJ289" s="11">
        <v>0.82684335164896428</v>
      </c>
      <c r="AK289" s="6"/>
      <c r="AL289" t="s">
        <v>1077</v>
      </c>
      <c r="AM289">
        <v>1407</v>
      </c>
      <c r="AN289" s="6"/>
      <c r="AO289" s="20">
        <v>7.157</v>
      </c>
      <c r="AP289" s="20">
        <v>9.2786000000000008</v>
      </c>
      <c r="AQ289" s="20">
        <v>7.2770999999999999</v>
      </c>
      <c r="AR289" s="20">
        <v>9.6515000000000004</v>
      </c>
      <c r="AS289" s="20">
        <v>10.450900000000001</v>
      </c>
      <c r="AT289" s="20">
        <v>8.1925000000000008</v>
      </c>
      <c r="AU289" s="20">
        <v>7.0129000000000001</v>
      </c>
      <c r="AV289" s="20">
        <v>8.39</v>
      </c>
      <c r="AW289" s="6"/>
      <c r="AX289" s="18">
        <v>5.2819999999999997E-25</v>
      </c>
      <c r="AY289" s="18">
        <v>1.7289999999999999E-25</v>
      </c>
      <c r="AZ289" s="18">
        <v>1.4310000000000001E-20</v>
      </c>
      <c r="BA289" s="18">
        <v>8.9699999999999993E-19</v>
      </c>
      <c r="BB289" s="18">
        <v>7.7899999999999998E-26</v>
      </c>
      <c r="BC289" s="18">
        <v>6.3299999999999996E-21</v>
      </c>
      <c r="BD289" s="18">
        <v>9.1959999999999997E-21</v>
      </c>
      <c r="BE289" s="18">
        <v>8.1479999999999999E-20</v>
      </c>
      <c r="BF289" s="13"/>
      <c r="BG289" t="s">
        <v>1131</v>
      </c>
      <c r="BH289" t="s">
        <v>1211</v>
      </c>
      <c r="BI289" t="s">
        <v>1113</v>
      </c>
      <c r="BJ289" t="s">
        <v>1114</v>
      </c>
      <c r="BK289" t="s">
        <v>1115</v>
      </c>
      <c r="BL289" t="s">
        <v>1116</v>
      </c>
      <c r="BM289" t="s">
        <v>1117</v>
      </c>
      <c r="BN289" s="13"/>
      <c r="BO289" t="s">
        <v>973</v>
      </c>
      <c r="BP289" t="s">
        <v>973</v>
      </c>
      <c r="BQ289" t="s">
        <v>973</v>
      </c>
      <c r="BR289" t="s">
        <v>973</v>
      </c>
    </row>
    <row r="290" spans="1:70" x14ac:dyDescent="0.25">
      <c r="A290" t="s">
        <v>526</v>
      </c>
      <c r="B290" t="s">
        <v>282</v>
      </c>
      <c r="C290" t="s">
        <v>32</v>
      </c>
      <c r="D290" s="6"/>
      <c r="E290" s="9" t="str">
        <f>HYPERLINK("http://plants.ensembl.org/Triticum_aestivum/Gene/Summary?g=TRIAE_CS42_4BS_TGACv1_329268_AA1099450","TRIAE_CS42_4BS_TGACv1_329268_AA1099450")</f>
        <v>TRIAE_CS42_4BS_TGACv1_329268_AA1099450</v>
      </c>
      <c r="H290" s="8" t="str">
        <f>HYPERLINK("http://plants.ensembl.org/Brachypodium_distachyon/Gene/Summary?g=Bradi4g38932","Bradi4g38932")</f>
        <v>Bradi4g38932</v>
      </c>
      <c r="I290" s="1" t="s">
        <v>1051</v>
      </c>
      <c r="J290" s="9" t="str">
        <f>HYPERLINK("http://plants.ensembl.org/Oryza_sativa/Gene/Summary?db=otherfeatures;g=LOC_Os05g37640","LOC_Os05g37640")</f>
        <v>LOC_Os05g37640</v>
      </c>
      <c r="L290" s="6"/>
      <c r="M290" s="1" t="s">
        <v>973</v>
      </c>
      <c r="N290" s="1" t="s">
        <v>973</v>
      </c>
      <c r="O290" s="1">
        <v>1</v>
      </c>
      <c r="P290" s="1" t="s">
        <v>973</v>
      </c>
      <c r="Q290" s="1" t="s">
        <v>973</v>
      </c>
      <c r="R290" s="1" t="s">
        <v>973</v>
      </c>
      <c r="S290" s="1"/>
      <c r="T290" s="6"/>
      <c r="U290" s="11">
        <v>8.0246936701523115</v>
      </c>
      <c r="V290" s="11">
        <v>8.6003089092373415</v>
      </c>
      <c r="W290" s="11">
        <v>4.8910999568726208</v>
      </c>
      <c r="X290" s="11">
        <v>4.9422345406021417</v>
      </c>
      <c r="Y290" s="11">
        <v>6.0017001757040056</v>
      </c>
      <c r="Z290" s="11">
        <v>4.9602923731573885</v>
      </c>
      <c r="AA290" s="11">
        <v>4.6764893327047963</v>
      </c>
      <c r="AB290" s="11">
        <v>5.2912548252949509</v>
      </c>
      <c r="AC290" s="11">
        <v>0.39469705099466834</v>
      </c>
      <c r="AD290" s="11">
        <v>1.9182971764481784</v>
      </c>
      <c r="AE290" s="11">
        <v>0.29721098503322341</v>
      </c>
      <c r="AF290" s="11">
        <v>0.25801633106716926</v>
      </c>
      <c r="AG290" s="11">
        <v>0.16602981449478316</v>
      </c>
      <c r="AH290" s="11">
        <v>0</v>
      </c>
      <c r="AI290" s="11">
        <v>0.3029136531679405</v>
      </c>
      <c r="AJ290" s="11">
        <v>0.33460641143068703</v>
      </c>
      <c r="AK290" s="6"/>
      <c r="AL290" t="s">
        <v>1077</v>
      </c>
      <c r="AM290">
        <v>2041</v>
      </c>
      <c r="AN290" s="6"/>
      <c r="AO290" s="20">
        <v>8.9892000000000003</v>
      </c>
      <c r="AP290" s="20">
        <v>8.6489999999999991</v>
      </c>
      <c r="AQ290" s="20">
        <v>6.0457999999999998</v>
      </c>
      <c r="AR290" s="20">
        <v>6.0407000000000002</v>
      </c>
      <c r="AS290" s="20">
        <v>7.7179000000000002</v>
      </c>
      <c r="AT290" s="20">
        <v>6.7839999999999998</v>
      </c>
      <c r="AU290" s="20">
        <v>5.8761999999999999</v>
      </c>
      <c r="AV290" s="20">
        <v>6.4820000000000002</v>
      </c>
      <c r="AW290" s="6"/>
      <c r="AX290" s="18">
        <v>3.6860000000000003E-15</v>
      </c>
      <c r="AY290" s="18">
        <v>1.9949999999999999E-16</v>
      </c>
      <c r="AZ290" s="18">
        <v>2.195E-7</v>
      </c>
      <c r="BA290" s="18">
        <v>1.1370000000000001E-7</v>
      </c>
      <c r="BB290" s="18">
        <v>1.0080000000000001E-11</v>
      </c>
      <c r="BC290" s="18">
        <v>1.187E-8</v>
      </c>
      <c r="BD290" s="18">
        <v>4.6989999999999999E-7</v>
      </c>
      <c r="BE290" s="18">
        <v>3.128E-8</v>
      </c>
      <c r="BF290" s="13"/>
      <c r="BG290" t="s">
        <v>1191</v>
      </c>
      <c r="BH290" t="s">
        <v>1132</v>
      </c>
      <c r="BI290" t="s">
        <v>1113</v>
      </c>
      <c r="BJ290" t="s">
        <v>1114</v>
      </c>
      <c r="BK290" t="s">
        <v>1115</v>
      </c>
      <c r="BL290" t="s">
        <v>1116</v>
      </c>
      <c r="BM290" t="s">
        <v>1117</v>
      </c>
      <c r="BN290" s="13"/>
      <c r="BO290" t="s">
        <v>973</v>
      </c>
      <c r="BP290" t="s">
        <v>973</v>
      </c>
      <c r="BQ290">
        <v>1</v>
      </c>
      <c r="BR290" t="s">
        <v>973</v>
      </c>
    </row>
    <row r="291" spans="1:70" x14ac:dyDescent="0.25">
      <c r="A291" t="s">
        <v>544</v>
      </c>
      <c r="B291" t="s">
        <v>461</v>
      </c>
      <c r="C291" t="s">
        <v>462</v>
      </c>
      <c r="D291" s="6"/>
      <c r="E291" s="9" t="str">
        <f>HYPERLINK("http://plants.ensembl.org/Triticum_aestivum/Gene/Summary?g=TRIAE_CS42_4BL_TGACv1_321592_AA1062650","TRIAE_CS42_4BL_TGACv1_321592_AA1062650")</f>
        <v>TRIAE_CS42_4BL_TGACv1_321592_AA1062650</v>
      </c>
      <c r="F291" s="9" t="str">
        <f>HYPERLINK("http://mar2016-plants.ensembl.org/Triticum_aestivum/Gene/Summary?db=core;g=Traes_4BL_71E35BBC1","Traes_4BL_71E35BBC1")</f>
        <v>Traes_4BL_71E35BBC1</v>
      </c>
      <c r="H291" s="8" t="str">
        <f>HYPERLINK("http://plants.ensembl.org/Brachypodium_distachyon/Gene/Summary?g=Bradi1g71740","Bradi1g71740")</f>
        <v>Bradi1g71740</v>
      </c>
      <c r="I291" s="1" t="s">
        <v>1051</v>
      </c>
      <c r="J291" s="9" t="str">
        <f>HYPERLINK("http://plants.ensembl.org/Oryza_sativa/Gene/Summary?db=otherfeatures;g=LOC_Os03g09170","LOC_Os03g09170")</f>
        <v>LOC_Os03g09170</v>
      </c>
      <c r="L291" s="6"/>
      <c r="M291" s="1" t="s">
        <v>973</v>
      </c>
      <c r="N291" s="1" t="s">
        <v>973</v>
      </c>
      <c r="O291" s="1">
        <v>1</v>
      </c>
      <c r="P291" s="1" t="s">
        <v>973</v>
      </c>
      <c r="Q291" s="1" t="s">
        <v>973</v>
      </c>
      <c r="R291" s="1" t="s">
        <v>973</v>
      </c>
      <c r="S291" s="1"/>
      <c r="T291" s="6"/>
      <c r="U291" s="11">
        <v>4.7600843009817835</v>
      </c>
      <c r="V291" s="11">
        <v>7.9920217425725282</v>
      </c>
      <c r="W291" s="11">
        <v>3.0340865620517525</v>
      </c>
      <c r="X291" s="11">
        <v>6.0105366841737142</v>
      </c>
      <c r="Y291" s="11">
        <v>3.7084558076489276</v>
      </c>
      <c r="Z291" s="11">
        <v>5.2304579428105145</v>
      </c>
      <c r="AA291" s="11">
        <v>5.038459594238625</v>
      </c>
      <c r="AB291" s="11">
        <v>4.7967344450733256</v>
      </c>
      <c r="AC291" s="11">
        <v>2.4105762877954571</v>
      </c>
      <c r="AD291" s="11">
        <v>1.5627837785565264</v>
      </c>
      <c r="AE291" s="11">
        <v>2.9320359668073799</v>
      </c>
      <c r="AF291" s="11">
        <v>3.8409868396580182</v>
      </c>
      <c r="AG291" s="11">
        <v>2.7283486627438083</v>
      </c>
      <c r="AH291" s="11">
        <v>1.3583962619566541</v>
      </c>
      <c r="AI291" s="11">
        <v>3.1765568192220028</v>
      </c>
      <c r="AJ291" s="11">
        <v>5.0320229449381237</v>
      </c>
      <c r="AK291" s="6"/>
      <c r="AL291" t="s">
        <v>1077</v>
      </c>
      <c r="AM291">
        <v>0</v>
      </c>
      <c r="AN291" s="6"/>
      <c r="AO291" s="20">
        <v>2.5284</v>
      </c>
      <c r="AP291" s="20">
        <v>6.2960000000000003</v>
      </c>
      <c r="AQ291" s="20">
        <v>0.10580000000000001</v>
      </c>
      <c r="AR291" s="20">
        <v>2.1398999999999999</v>
      </c>
      <c r="AS291" s="20">
        <v>1.0616000000000001</v>
      </c>
      <c r="AT291" s="20">
        <v>4.3324999999999996</v>
      </c>
      <c r="AU291" s="20">
        <v>1.9152</v>
      </c>
      <c r="AV291" s="20">
        <v>-0.23760000000000001</v>
      </c>
      <c r="AW291" s="6"/>
      <c r="AX291" s="18">
        <v>3.5969999999999999E-3</v>
      </c>
      <c r="AY291" s="18">
        <v>3.1030000000000002E-11</v>
      </c>
      <c r="AZ291" s="18">
        <v>0.89939999999999998</v>
      </c>
      <c r="BA291" s="18">
        <v>6.4149999999999997E-3</v>
      </c>
      <c r="BB291" s="18">
        <v>0.19450000000000001</v>
      </c>
      <c r="BC291" s="18">
        <v>3.7290000000000002E-6</v>
      </c>
      <c r="BD291" s="18">
        <v>1.6490000000000001E-2</v>
      </c>
      <c r="BE291" s="18">
        <v>0.76</v>
      </c>
      <c r="BF291" s="13"/>
      <c r="BG291" t="s">
        <v>1125</v>
      </c>
      <c r="BH291" t="s">
        <v>1269</v>
      </c>
      <c r="BI291" t="s">
        <v>1113</v>
      </c>
      <c r="BJ291" t="s">
        <v>1127</v>
      </c>
      <c r="BK291" t="s">
        <v>1115</v>
      </c>
      <c r="BL291" t="s">
        <v>1116</v>
      </c>
      <c r="BM291" t="s">
        <v>1117</v>
      </c>
      <c r="BN291" s="13"/>
      <c r="BO291" t="s">
        <v>973</v>
      </c>
      <c r="BP291" t="s">
        <v>973</v>
      </c>
      <c r="BQ291" t="s">
        <v>973</v>
      </c>
      <c r="BR291" t="s">
        <v>973</v>
      </c>
    </row>
    <row r="292" spans="1:70" x14ac:dyDescent="0.25">
      <c r="A292" t="s">
        <v>552</v>
      </c>
      <c r="B292" t="s">
        <v>553</v>
      </c>
      <c r="C292" t="s">
        <v>32</v>
      </c>
      <c r="D292" s="6"/>
      <c r="E292" s="9" t="str">
        <f>HYPERLINK("http://plants.ensembl.org/Triticum_aestivum/Gene/Summary?g=TRIAE_CS42_4BL_TGACv1_320475_AA1040760","TRIAE_CS42_4BL_TGACv1_320475_AA1040760")</f>
        <v>TRIAE_CS42_4BL_TGACv1_320475_AA1040760</v>
      </c>
      <c r="F292" s="9" t="str">
        <f>HYPERLINK("http://mar2016-plants.ensembl.org/Triticum_aestivum/Gene/Summary?db=core;g=Traes_4BL_7EC2BFC7B","Traes_4BL_7EC2BFC7B")</f>
        <v>Traes_4BL_7EC2BFC7B</v>
      </c>
      <c r="H292" s="8" t="str">
        <f>HYPERLINK("http://plants.ensembl.org/Brachypodium_distachyon/Gene/Summary?g=Bradi1g72449","Bradi1g72449")</f>
        <v>Bradi1g72449</v>
      </c>
      <c r="I292" s="1" t="s">
        <v>1051</v>
      </c>
      <c r="J292" s="9" t="str">
        <f>HYPERLINK("http://plants.ensembl.org/Oryza_sativa/Gene/Summary?db=otherfeatures;g=LOC_Os03g08500","LOC_Os03g08500")</f>
        <v>LOC_Os03g08500</v>
      </c>
      <c r="L292" s="6"/>
      <c r="M292" s="1" t="s">
        <v>973</v>
      </c>
      <c r="N292" s="1" t="s">
        <v>973</v>
      </c>
      <c r="O292" s="1">
        <v>1</v>
      </c>
      <c r="P292" s="1" t="s">
        <v>973</v>
      </c>
      <c r="Q292" s="1" t="s">
        <v>973</v>
      </c>
      <c r="R292" s="1" t="s">
        <v>973</v>
      </c>
      <c r="S292" s="1"/>
      <c r="T292" s="6"/>
      <c r="U292" s="11">
        <v>7.8574848797728469</v>
      </c>
      <c r="V292" s="11">
        <v>10.035675819794061</v>
      </c>
      <c r="W292" s="11">
        <v>6.7072680116218351</v>
      </c>
      <c r="X292" s="11">
        <v>7.540997721185926</v>
      </c>
      <c r="Y292" s="11">
        <v>7.3928806508859184</v>
      </c>
      <c r="Z292" s="11">
        <v>7.3697433168047626</v>
      </c>
      <c r="AA292" s="11">
        <v>8.331671929857885</v>
      </c>
      <c r="AB292" s="11">
        <v>7.0077426886513319</v>
      </c>
      <c r="AC292" s="11">
        <v>7.1624316128727568</v>
      </c>
      <c r="AD292" s="11">
        <v>6.2831247865960203</v>
      </c>
      <c r="AE292" s="11">
        <v>6.3936913361406544</v>
      </c>
      <c r="AF292" s="11">
        <v>6.2124292645712753</v>
      </c>
      <c r="AG292" s="11">
        <v>6.6967121060454149</v>
      </c>
      <c r="AH292" s="11">
        <v>5.5574917829798238</v>
      </c>
      <c r="AI292" s="11">
        <v>6.9362979332519092</v>
      </c>
      <c r="AJ292" s="11">
        <v>6.8561872904868189</v>
      </c>
      <c r="AK292" s="6"/>
      <c r="AL292" t="s">
        <v>1077</v>
      </c>
      <c r="AM292">
        <v>0</v>
      </c>
      <c r="AN292" s="6"/>
      <c r="AO292" s="20">
        <v>0.70440000000000003</v>
      </c>
      <c r="AP292" s="20">
        <v>3.6585000000000001</v>
      </c>
      <c r="AQ292" s="20">
        <v>0.31169999999999998</v>
      </c>
      <c r="AR292" s="20">
        <v>1.3116000000000001</v>
      </c>
      <c r="AS292" s="20">
        <v>0.6925</v>
      </c>
      <c r="AT292" s="20">
        <v>1.8149</v>
      </c>
      <c r="AU292" s="20">
        <v>1.383</v>
      </c>
      <c r="AV292" s="20">
        <v>0.151</v>
      </c>
      <c r="AW292" s="6"/>
      <c r="AX292" s="18">
        <v>0.18160000000000001</v>
      </c>
      <c r="AY292" s="18">
        <v>1.4570000000000001E-11</v>
      </c>
      <c r="AZ292" s="18">
        <v>0.5544</v>
      </c>
      <c r="BA292" s="18">
        <v>1.2869999999999999E-2</v>
      </c>
      <c r="BB292" s="18">
        <v>0.18579999999999999</v>
      </c>
      <c r="BC292" s="18">
        <v>6.4340000000000003E-4</v>
      </c>
      <c r="BD292" s="18">
        <v>8.0630000000000007E-3</v>
      </c>
      <c r="BE292" s="18">
        <v>0.77390000000000003</v>
      </c>
      <c r="BF292" s="13"/>
      <c r="BG292" t="s">
        <v>1363</v>
      </c>
      <c r="BH292" t="s">
        <v>1126</v>
      </c>
      <c r="BI292" t="s">
        <v>1113</v>
      </c>
      <c r="BJ292" t="s">
        <v>1127</v>
      </c>
      <c r="BK292" t="s">
        <v>1115</v>
      </c>
      <c r="BL292" t="s">
        <v>1214</v>
      </c>
      <c r="BM292" t="s">
        <v>1117</v>
      </c>
      <c r="BN292" s="13"/>
      <c r="BO292" t="s">
        <v>973</v>
      </c>
      <c r="BP292" t="s">
        <v>973</v>
      </c>
      <c r="BQ292" t="s">
        <v>973</v>
      </c>
      <c r="BR292" t="s">
        <v>973</v>
      </c>
    </row>
    <row r="293" spans="1:70" x14ac:dyDescent="0.25">
      <c r="A293" t="s">
        <v>554</v>
      </c>
      <c r="B293" t="s">
        <v>451</v>
      </c>
      <c r="C293" t="s">
        <v>32</v>
      </c>
      <c r="D293" s="6"/>
      <c r="E293" s="9" t="str">
        <f>HYPERLINK("http://plants.ensembl.org/Triticum_aestivum/Gene/Summary?g=TRIAE_CS42_4DS_TGACv1_363014_AA1183040","TRIAE_CS42_4DS_TGACv1_363014_AA1183040")</f>
        <v>TRIAE_CS42_4DS_TGACv1_363014_AA1183040</v>
      </c>
      <c r="F293" s="9" t="str">
        <f>HYPERLINK("http://mar2016-plants.ensembl.org/Triticum_aestivum/Gene/Summary?db=core;g=Traes_4DS_AB2BEFAB3","Traes_4DS_AB2BEFAB3")</f>
        <v>Traes_4DS_AB2BEFAB3</v>
      </c>
      <c r="G293" t="s">
        <v>1001</v>
      </c>
      <c r="H293" s="8" t="str">
        <f>HYPERLINK("http://plants.ensembl.org/Brachypodium_distachyon/Gene/Summary?g=Bradi4g38941","Bradi4g38941")</f>
        <v>Bradi4g38941</v>
      </c>
      <c r="I293" s="1" t="s">
        <v>1051</v>
      </c>
      <c r="J293" s="9" t="str">
        <f>HYPERLINK("http://plants.ensembl.org/Oryza_sativa/Gene/Summary?db=otherfeatures;g=LOC_Os09g39810","LOC_Os09g39810")</f>
        <v>LOC_Os09g39810</v>
      </c>
      <c r="K293" s="9" t="str">
        <f>HYPERLINK("http://plants.ensembl.org/Zea_mays/Gene/Summary?db=otherfeatures;g=GRMZM2G060517","GRMZM2G060517")</f>
        <v>GRMZM2G060517</v>
      </c>
      <c r="L293" s="6"/>
      <c r="M293" t="s">
        <v>973</v>
      </c>
      <c r="N293" t="s">
        <v>973</v>
      </c>
      <c r="O293">
        <v>1</v>
      </c>
      <c r="P293" t="s">
        <v>973</v>
      </c>
      <c r="S293" t="s">
        <v>973</v>
      </c>
      <c r="T293" s="6"/>
      <c r="U293" s="11">
        <v>7.1686213116433732</v>
      </c>
      <c r="V293" s="11">
        <v>8.044819214581139</v>
      </c>
      <c r="W293" s="11">
        <v>4.0904526261588048</v>
      </c>
      <c r="X293" s="11">
        <v>3.4335826593786325</v>
      </c>
      <c r="Y293" s="11">
        <v>4.3395364943451842</v>
      </c>
      <c r="Z293" s="11">
        <v>3.5421589771778881</v>
      </c>
      <c r="AA293" s="11">
        <v>4.7413824896377639</v>
      </c>
      <c r="AB293" s="11">
        <v>4.5180168002768823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6"/>
      <c r="AL293" t="s">
        <v>1077</v>
      </c>
      <c r="AM293">
        <v>1067</v>
      </c>
      <c r="AN293" s="6"/>
      <c r="AO293" s="20">
        <v>8.9512999999999998</v>
      </c>
      <c r="AP293" s="20">
        <v>8.8428000000000004</v>
      </c>
      <c r="AQ293" s="20">
        <v>6.0514000000000001</v>
      </c>
      <c r="AR293" s="20">
        <v>5.2878999999999996</v>
      </c>
      <c r="AS293" s="20">
        <v>6.8137999999999996</v>
      </c>
      <c r="AT293" s="20">
        <v>5.3456000000000001</v>
      </c>
      <c r="AU293" s="20">
        <v>6.7676999999999996</v>
      </c>
      <c r="AV293" s="20">
        <v>6.5384000000000002</v>
      </c>
      <c r="AW293" s="6"/>
      <c r="AX293" s="18">
        <v>2.9269999999999999E-12</v>
      </c>
      <c r="AY293" s="18">
        <v>4.8309999999999999E-12</v>
      </c>
      <c r="AZ293" s="18">
        <v>2.6699999999999998E-6</v>
      </c>
      <c r="BA293" s="18">
        <v>4.6369999999999998E-5</v>
      </c>
      <c r="BB293" s="18">
        <v>1.2550000000000001E-7</v>
      </c>
      <c r="BC293" s="18">
        <v>3.6600000000000002E-5</v>
      </c>
      <c r="BD293" s="18">
        <v>1.357E-7</v>
      </c>
      <c r="BE293" s="18">
        <v>3.8780000000000002E-7</v>
      </c>
      <c r="BF293" s="13"/>
      <c r="BG293" t="s">
        <v>1191</v>
      </c>
      <c r="BH293" t="s">
        <v>1132</v>
      </c>
      <c r="BI293" t="s">
        <v>1113</v>
      </c>
      <c r="BJ293" t="s">
        <v>1114</v>
      </c>
      <c r="BK293" t="s">
        <v>1115</v>
      </c>
      <c r="BL293" t="s">
        <v>1116</v>
      </c>
      <c r="BM293" t="s">
        <v>1117</v>
      </c>
      <c r="BN293" s="13"/>
      <c r="BO293" t="s">
        <v>973</v>
      </c>
      <c r="BP293" t="s">
        <v>973</v>
      </c>
      <c r="BQ293">
        <v>1</v>
      </c>
      <c r="BR293" t="s">
        <v>973</v>
      </c>
    </row>
    <row r="294" spans="1:70" x14ac:dyDescent="0.25">
      <c r="A294" t="s">
        <v>587</v>
      </c>
      <c r="B294" t="s">
        <v>461</v>
      </c>
      <c r="C294" t="s">
        <v>462</v>
      </c>
      <c r="D294" s="6"/>
      <c r="E294" s="9" t="str">
        <f>HYPERLINK("http://plants.ensembl.org/Triticum_aestivum/Gene/Summary?g=TRIAE_CS42_4DL_TGACv1_344177_AA1144620","TRIAE_CS42_4DL_TGACv1_344177_AA1144620")</f>
        <v>TRIAE_CS42_4DL_TGACv1_344177_AA1144620</v>
      </c>
      <c r="F294" s="9" t="str">
        <f>HYPERLINK("http://mar2016-plants.ensembl.org/Triticum_aestivum/Gene/Summary?db=core;g=Traes_4DL_BC04763DE","Traes_4DL_BC04763DE")</f>
        <v>Traes_4DL_BC04763DE</v>
      </c>
      <c r="H294" s="8" t="str">
        <f>HYPERLINK("http://plants.ensembl.org/Brachypodium_distachyon/Gene/Summary?g=Bradi1g71740","Bradi1g71740")</f>
        <v>Bradi1g71740</v>
      </c>
      <c r="I294" s="1" t="s">
        <v>1051</v>
      </c>
      <c r="J294" s="9" t="str">
        <f>HYPERLINK("http://plants.ensembl.org/Oryza_sativa/Gene/Summary?db=otherfeatures;g=LOC_Os03g09170","LOC_Os03g09170")</f>
        <v>LOC_Os03g09170</v>
      </c>
      <c r="L294" s="6"/>
      <c r="M294" s="1" t="s">
        <v>973</v>
      </c>
      <c r="N294" s="1" t="s">
        <v>973</v>
      </c>
      <c r="O294" s="1">
        <v>1</v>
      </c>
      <c r="P294" s="1" t="s">
        <v>973</v>
      </c>
      <c r="Q294" s="1" t="s">
        <v>973</v>
      </c>
      <c r="R294" s="1" t="s">
        <v>973</v>
      </c>
      <c r="S294" s="1"/>
      <c r="T294" s="6"/>
      <c r="U294" s="11">
        <v>6.4260712640203987</v>
      </c>
      <c r="V294" s="11">
        <v>8.8784871815178228</v>
      </c>
      <c r="W294" s="11">
        <v>3.2470109844714621</v>
      </c>
      <c r="X294" s="11">
        <v>6.2198829133151605</v>
      </c>
      <c r="Y294" s="11">
        <v>4.7257847747422552</v>
      </c>
      <c r="Z294" s="11">
        <v>6.2085296151569436</v>
      </c>
      <c r="AA294" s="11">
        <v>5.4025414194057895</v>
      </c>
      <c r="AB294" s="11">
        <v>5.0035797506096849</v>
      </c>
      <c r="AC294" s="11">
        <v>3.1132281903512067</v>
      </c>
      <c r="AD294" s="11">
        <v>3.0088991720566369</v>
      </c>
      <c r="AE294" s="11">
        <v>3.0170370211993278</v>
      </c>
      <c r="AF294" s="11">
        <v>4.3981679239289164</v>
      </c>
      <c r="AG294" s="11">
        <v>3.7190884991876532</v>
      </c>
      <c r="AH294" s="11">
        <v>2.4576643281461341</v>
      </c>
      <c r="AI294" s="11">
        <v>3.5696814619983734</v>
      </c>
      <c r="AJ294" s="11">
        <v>5.7130652310496863</v>
      </c>
      <c r="AK294" s="6"/>
      <c r="AL294" t="s">
        <v>1077</v>
      </c>
      <c r="AM294">
        <v>0</v>
      </c>
      <c r="AN294" s="6"/>
      <c r="AO294" s="20">
        <v>3.3832</v>
      </c>
      <c r="AP294" s="20">
        <v>5.5594000000000001</v>
      </c>
      <c r="AQ294" s="20">
        <v>0.26079999999999998</v>
      </c>
      <c r="AR294" s="20">
        <v>1.7897000000000001</v>
      </c>
      <c r="AS294" s="20">
        <v>1.0516000000000001</v>
      </c>
      <c r="AT294" s="20">
        <v>3.9260999999999999</v>
      </c>
      <c r="AU294" s="20">
        <v>1.8583000000000001</v>
      </c>
      <c r="AV294" s="20">
        <v>-0.71150000000000002</v>
      </c>
      <c r="AW294" s="6"/>
      <c r="AX294" s="18">
        <v>6.0449999999999997E-6</v>
      </c>
      <c r="AY294" s="18">
        <v>1.199E-12</v>
      </c>
      <c r="AZ294" s="18">
        <v>0.73350000000000004</v>
      </c>
      <c r="BA294" s="18">
        <v>1.145E-2</v>
      </c>
      <c r="BB294" s="18">
        <v>0.14330000000000001</v>
      </c>
      <c r="BC294" s="18">
        <v>3.354E-7</v>
      </c>
      <c r="BD294" s="18">
        <v>9.9299999999999996E-3</v>
      </c>
      <c r="BE294" s="18">
        <v>0.31190000000000001</v>
      </c>
      <c r="BF294" s="13"/>
      <c r="BG294" t="s">
        <v>1125</v>
      </c>
      <c r="BH294" t="s">
        <v>1126</v>
      </c>
      <c r="BI294" t="s">
        <v>1113</v>
      </c>
      <c r="BJ294" t="s">
        <v>1127</v>
      </c>
      <c r="BK294" t="s">
        <v>1115</v>
      </c>
      <c r="BL294" t="s">
        <v>1116</v>
      </c>
      <c r="BM294" t="s">
        <v>1117</v>
      </c>
      <c r="BN294" s="13"/>
      <c r="BO294" t="s">
        <v>973</v>
      </c>
      <c r="BP294">
        <v>1</v>
      </c>
      <c r="BQ294" t="s">
        <v>973</v>
      </c>
      <c r="BR294" t="s">
        <v>973</v>
      </c>
    </row>
    <row r="295" spans="1:70" x14ac:dyDescent="0.25">
      <c r="A295" t="s">
        <v>597</v>
      </c>
      <c r="B295" t="s">
        <v>553</v>
      </c>
      <c r="C295" t="s">
        <v>32</v>
      </c>
      <c r="D295" s="6"/>
      <c r="E295" s="9" t="str">
        <f>HYPERLINK("http://plants.ensembl.org/Triticum_aestivum/Gene/Summary?g=TRIAE_CS42_U_TGACv1_643085_AA2127120","TRIAE_CS42_U_TGACv1_643085_AA2127120")</f>
        <v>TRIAE_CS42_U_TGACv1_643085_AA2127120</v>
      </c>
      <c r="F295" s="9" t="str">
        <f>HYPERLINK("http://mar2016-plants.ensembl.org/Triticum_aestivum/Gene/Summary?db=core;g=Traes_4DL_7894729FE1","Traes_4DL_7894729FE1")</f>
        <v>Traes_4DL_7894729FE1</v>
      </c>
      <c r="H295" s="8" t="str">
        <f>HYPERLINK("http://plants.ensembl.org/Brachypodium_distachyon/Gene/Summary?g=Bradi1g72449","Bradi1g72449")</f>
        <v>Bradi1g72449</v>
      </c>
      <c r="I295" s="1" t="s">
        <v>1051</v>
      </c>
      <c r="J295" s="9" t="str">
        <f>HYPERLINK("http://plants.ensembl.org/Oryza_sativa/Gene/Summary?db=otherfeatures;g=LOC_Os03g08500","LOC_Os03g08500")</f>
        <v>LOC_Os03g08500</v>
      </c>
      <c r="L295" s="6"/>
      <c r="M295" s="1" t="s">
        <v>973</v>
      </c>
      <c r="N295" s="1" t="s">
        <v>973</v>
      </c>
      <c r="O295" s="1">
        <v>1</v>
      </c>
      <c r="P295" s="1" t="s">
        <v>973</v>
      </c>
      <c r="Q295" s="1" t="s">
        <v>973</v>
      </c>
      <c r="R295" s="1" t="s">
        <v>973</v>
      </c>
      <c r="S295" s="1"/>
      <c r="T295" s="6"/>
      <c r="U295" s="11">
        <v>5.5937601067218621</v>
      </c>
      <c r="V295" s="11">
        <v>5.8945178778788989</v>
      </c>
      <c r="W295" s="11">
        <v>5.174575532703849</v>
      </c>
      <c r="X295" s="11">
        <v>5.4293403418385919</v>
      </c>
      <c r="Y295" s="11">
        <v>5.9434775444309986</v>
      </c>
      <c r="Z295" s="11">
        <v>5.7573184423609698</v>
      </c>
      <c r="AA295" s="11">
        <v>7.0552893054612182</v>
      </c>
      <c r="AB295" s="11">
        <v>5.1966581858463234</v>
      </c>
      <c r="AC295" s="11">
        <v>5.8851106361672514</v>
      </c>
      <c r="AD295" s="11">
        <v>4.8865208834364546</v>
      </c>
      <c r="AE295" s="11">
        <v>4.6445908153801074</v>
      </c>
      <c r="AF295" s="11">
        <v>4.4368103553831979</v>
      </c>
      <c r="AG295" s="11">
        <v>5.4543623608770568</v>
      </c>
      <c r="AH295" s="11">
        <v>4.8462994057898605</v>
      </c>
      <c r="AI295" s="11">
        <v>5.7797272333200702</v>
      </c>
      <c r="AJ295" s="11">
        <v>5.1127779639083579</v>
      </c>
      <c r="AK295" s="6"/>
      <c r="AL295" t="s">
        <v>1077</v>
      </c>
      <c r="AM295">
        <v>0</v>
      </c>
      <c r="AN295" s="6"/>
      <c r="AO295" s="20">
        <v>-0.26829999999999998</v>
      </c>
      <c r="AP295" s="20">
        <v>0.99550000000000005</v>
      </c>
      <c r="AQ295" s="20">
        <v>0.54449999999999998</v>
      </c>
      <c r="AR295" s="20">
        <v>0.97319999999999995</v>
      </c>
      <c r="AS295" s="20">
        <v>0.49480000000000002</v>
      </c>
      <c r="AT295" s="20">
        <v>0.93310000000000004</v>
      </c>
      <c r="AU295" s="20">
        <v>1.2716000000000001</v>
      </c>
      <c r="AV295" s="20">
        <v>8.3699999999999997E-2</v>
      </c>
      <c r="AW295" s="6"/>
      <c r="AX295" s="18">
        <v>0.6</v>
      </c>
      <c r="AY295" s="18">
        <v>7.8579999999999997E-2</v>
      </c>
      <c r="AZ295" s="18">
        <v>0.28270000000000001</v>
      </c>
      <c r="BA295" s="18">
        <v>5.7149999999999999E-2</v>
      </c>
      <c r="BB295" s="18">
        <v>0.31169999999999998</v>
      </c>
      <c r="BC295" s="18">
        <v>6.3100000000000003E-2</v>
      </c>
      <c r="BD295" s="18">
        <v>8.5220000000000001E-3</v>
      </c>
      <c r="BE295" s="18">
        <v>0.86799999999999999</v>
      </c>
      <c r="BF295" s="13"/>
      <c r="BG295" t="s">
        <v>1250</v>
      </c>
      <c r="BH295" t="s">
        <v>1216</v>
      </c>
      <c r="BI295" t="s">
        <v>1113</v>
      </c>
      <c r="BJ295" t="s">
        <v>1217</v>
      </c>
      <c r="BK295" t="s">
        <v>1115</v>
      </c>
      <c r="BL295" t="s">
        <v>1214</v>
      </c>
      <c r="BM295" t="s">
        <v>1117</v>
      </c>
      <c r="BN295" s="13"/>
      <c r="BO295" t="s">
        <v>973</v>
      </c>
      <c r="BP295" t="s">
        <v>973</v>
      </c>
      <c r="BQ295" t="s">
        <v>973</v>
      </c>
      <c r="BR295">
        <v>1</v>
      </c>
    </row>
    <row r="296" spans="1:70" x14ac:dyDescent="0.25">
      <c r="A296" t="s">
        <v>604</v>
      </c>
      <c r="B296" t="s">
        <v>342</v>
      </c>
      <c r="C296" t="s">
        <v>32</v>
      </c>
      <c r="D296" s="6"/>
      <c r="E296" s="9" t="str">
        <f>HYPERLINK("http://plants.ensembl.org/Triticum_aestivum/Gene/Summary?g=TRIAE_CS42_5AS_TGACv1_392798_AA1264830","TRIAE_CS42_5AS_TGACv1_392798_AA1264830")</f>
        <v>TRIAE_CS42_5AS_TGACv1_392798_AA1264830</v>
      </c>
      <c r="H296" s="8" t="str">
        <f>HYPERLINK("http://plants.ensembl.org/Brachypodium_distachyon/Gene/Summary?g=Bradi4g41616","Bradi4g41616")</f>
        <v>Bradi4g41616</v>
      </c>
      <c r="I296" s="1" t="s">
        <v>1051</v>
      </c>
      <c r="J296" s="9" t="str">
        <f>HYPERLINK("http://plants.ensembl.org/Oryza_sativa/Gene/Summary?db=otherfeatures;g=LOC_Os04g32620","LOC_Os04g32620")</f>
        <v>LOC_Os04g32620</v>
      </c>
      <c r="L296" s="6"/>
      <c r="M296" s="1" t="s">
        <v>973</v>
      </c>
      <c r="N296" s="1" t="s">
        <v>973</v>
      </c>
      <c r="O296" s="1">
        <v>1</v>
      </c>
      <c r="P296" s="1" t="s">
        <v>973</v>
      </c>
      <c r="Q296" s="1" t="s">
        <v>973</v>
      </c>
      <c r="R296" s="1" t="s">
        <v>973</v>
      </c>
      <c r="S296" s="1"/>
      <c r="T296" s="6"/>
      <c r="U296" s="11">
        <v>6.6385329351373397</v>
      </c>
      <c r="V296" s="11">
        <v>8.8061732316723358</v>
      </c>
      <c r="W296" s="11">
        <v>4.7196215501240539</v>
      </c>
      <c r="X296" s="11">
        <v>5.8304843615471924</v>
      </c>
      <c r="Y296" s="11">
        <v>5.26523934212545</v>
      </c>
      <c r="Z296" s="11">
        <v>5.2632635657512461</v>
      </c>
      <c r="AA296" s="11">
        <v>4.762132625539838</v>
      </c>
      <c r="AB296" s="11">
        <v>4.3678323188081976</v>
      </c>
      <c r="AC296" s="11">
        <v>1.5309530074550182</v>
      </c>
      <c r="AD296" s="11">
        <v>0.39407506562573752</v>
      </c>
      <c r="AE296" s="11">
        <v>1.767697167513598</v>
      </c>
      <c r="AF296" s="11">
        <v>1.0970713705439032</v>
      </c>
      <c r="AG296" s="11">
        <v>1.776637440886546</v>
      </c>
      <c r="AH296" s="11">
        <v>0.40355859560642487</v>
      </c>
      <c r="AI296" s="11">
        <v>1.4295177727987434</v>
      </c>
      <c r="AJ296" s="11">
        <v>0</v>
      </c>
      <c r="AK296" s="6"/>
      <c r="AL296" t="s">
        <v>1077</v>
      </c>
      <c r="AM296" s="12">
        <v>3350</v>
      </c>
      <c r="AN296" s="6"/>
      <c r="AO296" s="20">
        <v>5.7504</v>
      </c>
      <c r="AP296" s="20">
        <v>8.8292000000000002</v>
      </c>
      <c r="AQ296" s="20">
        <v>3.2881</v>
      </c>
      <c r="AR296" s="20">
        <v>5.2145999999999999</v>
      </c>
      <c r="AS296" s="20">
        <v>3.8494999999999999</v>
      </c>
      <c r="AT296" s="20">
        <v>6.1871</v>
      </c>
      <c r="AU296" s="20">
        <v>3.7576000000000001</v>
      </c>
      <c r="AV296" s="20">
        <v>6.2954999999999997</v>
      </c>
      <c r="AW296" s="6"/>
      <c r="AX296" s="18">
        <v>2.3929999999999998E-11</v>
      </c>
      <c r="AY296" s="18">
        <v>9.2720000000000006E-17</v>
      </c>
      <c r="AZ296" s="18">
        <v>3.4799999999999999E-5</v>
      </c>
      <c r="BA296" s="18">
        <v>3.1869999999999999E-9</v>
      </c>
      <c r="BB296" s="18">
        <v>3.0740000000000001E-7</v>
      </c>
      <c r="BC296" s="18">
        <v>1.081E-7</v>
      </c>
      <c r="BD296" s="18">
        <v>5.3380000000000004E-6</v>
      </c>
      <c r="BE296" s="18">
        <v>1.734E-7</v>
      </c>
      <c r="BF296" s="13"/>
      <c r="BG296" t="s">
        <v>1125</v>
      </c>
      <c r="BH296" t="s">
        <v>1126</v>
      </c>
      <c r="BI296" t="s">
        <v>1113</v>
      </c>
      <c r="BJ296" t="s">
        <v>1127</v>
      </c>
      <c r="BK296" t="s">
        <v>1115</v>
      </c>
      <c r="BL296" t="s">
        <v>1116</v>
      </c>
      <c r="BM296" t="s">
        <v>1117</v>
      </c>
      <c r="BN296" s="13"/>
      <c r="BO296" t="s">
        <v>973</v>
      </c>
      <c r="BP296">
        <v>1</v>
      </c>
      <c r="BQ296" t="s">
        <v>973</v>
      </c>
      <c r="BR296" t="s">
        <v>973</v>
      </c>
    </row>
    <row r="297" spans="1:70" x14ac:dyDescent="0.25">
      <c r="A297" t="s">
        <v>618</v>
      </c>
      <c r="B297" t="s">
        <v>406</v>
      </c>
      <c r="C297" t="s">
        <v>32</v>
      </c>
      <c r="D297" s="6"/>
      <c r="E297" s="9" t="str">
        <f>HYPERLINK("http://plants.ensembl.org/Triticum_aestivum/Gene/Summary?g=TRIAE_CS42_5AL_TGACv1_377644_AA1248500","TRIAE_CS42_5AL_TGACv1_377644_AA1248500")</f>
        <v>TRIAE_CS42_5AL_TGACv1_377644_AA1248500</v>
      </c>
      <c r="F297" s="9" t="str">
        <f>HYPERLINK("http://mar2016-plants.ensembl.org/Triticum_aestivum/Gene/Summary?db=core;g=Traes_5AL_27FB6BB0C","Traes_5AL_27FB6BB0C")</f>
        <v>Traes_5AL_27FB6BB0C</v>
      </c>
      <c r="H297" s="8" t="str">
        <f>HYPERLINK("http://plants.ensembl.org/Brachypodium_distachyon/Gene/Summary?g=Bradi4g27850","Bradi4g27850")</f>
        <v>Bradi4g27850</v>
      </c>
      <c r="I297" s="1" t="s">
        <v>1051</v>
      </c>
      <c r="J297" s="9" t="str">
        <f>HYPERLINK("http://plants.ensembl.org/Oryza_sativa/Gene/Summary?db=otherfeatures;g=LOC_Os09g13940","LOC_Os09g13940")</f>
        <v>LOC_Os09g13940</v>
      </c>
      <c r="L297" s="6"/>
      <c r="M297" s="1" t="s">
        <v>973</v>
      </c>
      <c r="N297" s="1" t="s">
        <v>973</v>
      </c>
      <c r="O297" s="1">
        <v>1</v>
      </c>
      <c r="P297" s="1" t="s">
        <v>973</v>
      </c>
      <c r="Q297" s="1" t="s">
        <v>973</v>
      </c>
      <c r="R297" s="1" t="s">
        <v>973</v>
      </c>
      <c r="S297" s="1"/>
      <c r="T297" s="6"/>
      <c r="U297" s="11">
        <v>7.6296645564579153</v>
      </c>
      <c r="V297" s="11">
        <v>7.7696137375099292</v>
      </c>
      <c r="W297" s="11">
        <v>6.5117795311232571</v>
      </c>
      <c r="X297" s="11">
        <v>6.9139090389956301</v>
      </c>
      <c r="Y297" s="11">
        <v>7.0049017107807208</v>
      </c>
      <c r="Z297" s="11">
        <v>6.8362073487769477</v>
      </c>
      <c r="AA297" s="11">
        <v>6.3043485834494115</v>
      </c>
      <c r="AB297" s="11">
        <v>6.6928828041079349</v>
      </c>
      <c r="AC297" s="11">
        <v>5.7010841629303304</v>
      </c>
      <c r="AD297" s="11">
        <v>5.6110562828913526</v>
      </c>
      <c r="AE297" s="11">
        <v>5.7068427067004039</v>
      </c>
      <c r="AF297" s="11">
        <v>6.1008851643092381</v>
      </c>
      <c r="AG297" s="11">
        <v>5.7216196501830341</v>
      </c>
      <c r="AH297" s="11">
        <v>5.9163683586269613</v>
      </c>
      <c r="AI297" s="11">
        <v>5.8464506913938186</v>
      </c>
      <c r="AJ297" s="11">
        <v>6.1331394717484704</v>
      </c>
      <c r="AK297" s="6"/>
      <c r="AL297" t="s">
        <v>1077</v>
      </c>
      <c r="AM297">
        <v>113</v>
      </c>
      <c r="AN297" s="6"/>
      <c r="AO297" s="20">
        <v>1.9595</v>
      </c>
      <c r="AP297" s="20">
        <v>2.3771</v>
      </c>
      <c r="AQ297" s="20">
        <v>0.81359999999999999</v>
      </c>
      <c r="AR297" s="20">
        <v>0.82769999999999999</v>
      </c>
      <c r="AS297" s="20">
        <v>1.2941</v>
      </c>
      <c r="AT297" s="20">
        <v>0.91979999999999995</v>
      </c>
      <c r="AU297" s="20">
        <v>0.47210000000000002</v>
      </c>
      <c r="AV297" s="20">
        <v>0.56389999999999996</v>
      </c>
      <c r="AW297" s="6"/>
      <c r="AX297" s="18">
        <v>2.053E-10</v>
      </c>
      <c r="AY297" s="18">
        <v>1.0699999999999999E-11</v>
      </c>
      <c r="AZ297" s="18">
        <v>7.077E-3</v>
      </c>
      <c r="BA297" s="18">
        <v>5.5030000000000001E-3</v>
      </c>
      <c r="BB297" s="18">
        <v>1.1409999999999999E-5</v>
      </c>
      <c r="BC297" s="18">
        <v>2.1740000000000002E-3</v>
      </c>
      <c r="BD297" s="18">
        <v>0.1153</v>
      </c>
      <c r="BE297" s="18">
        <v>5.8500000000000003E-2</v>
      </c>
      <c r="BF297" s="13"/>
      <c r="BG297" t="s">
        <v>1143</v>
      </c>
      <c r="BH297" t="s">
        <v>1347</v>
      </c>
      <c r="BI297" t="s">
        <v>1113</v>
      </c>
      <c r="BJ297" t="s">
        <v>1114</v>
      </c>
      <c r="BK297" t="s">
        <v>1115</v>
      </c>
      <c r="BL297" t="s">
        <v>1116</v>
      </c>
      <c r="BM297" t="s">
        <v>1117</v>
      </c>
      <c r="BN297" s="13"/>
      <c r="BO297" t="s">
        <v>973</v>
      </c>
      <c r="BP297" t="s">
        <v>973</v>
      </c>
      <c r="BQ297" t="s">
        <v>973</v>
      </c>
      <c r="BR297" t="s">
        <v>973</v>
      </c>
    </row>
    <row r="298" spans="1:70" x14ac:dyDescent="0.25">
      <c r="A298" t="s">
        <v>629</v>
      </c>
      <c r="B298" t="s">
        <v>553</v>
      </c>
      <c r="C298" t="s">
        <v>32</v>
      </c>
      <c r="D298" s="6"/>
      <c r="E298" s="9" t="str">
        <f>HYPERLINK("http://plants.ensembl.org/Triticum_aestivum/Gene/Summary?g=TRIAE_CS42_5AL_TGACv1_374826_AA1209700","TRIAE_CS42_5AL_TGACv1_374826_AA1209700")</f>
        <v>TRIAE_CS42_5AL_TGACv1_374826_AA1209700</v>
      </c>
      <c r="F298" s="9" t="str">
        <f>HYPERLINK("http://mar2016-plants.ensembl.org/Triticum_aestivum/Gene/Summary?db=core;g=Traes_5AL_14D9A9844","Traes_5AL_14D9A9844")</f>
        <v>Traes_5AL_14D9A9844</v>
      </c>
      <c r="H298" s="8" t="str">
        <f>HYPERLINK("http://plants.ensembl.org/Brachypodium_distachyon/Gene/Summary?g=Bradi4g31040","Bradi4g31040")</f>
        <v>Bradi4g31040</v>
      </c>
      <c r="I298" s="1" t="s">
        <v>1051</v>
      </c>
      <c r="J298" s="9" t="str">
        <f>HYPERLINK("http://plants.ensembl.org/Oryza_sativa/Gene/Summary?db=otherfeatures;g=LOC_Os09g26420","LOC_Os09g26420")</f>
        <v>LOC_Os09g26420</v>
      </c>
      <c r="L298" s="6"/>
      <c r="M298" s="1" t="s">
        <v>973</v>
      </c>
      <c r="N298" s="1" t="s">
        <v>973</v>
      </c>
      <c r="O298" s="1">
        <v>1</v>
      </c>
      <c r="P298" s="1" t="s">
        <v>973</v>
      </c>
      <c r="Q298" s="1" t="s">
        <v>973</v>
      </c>
      <c r="R298" s="1" t="s">
        <v>973</v>
      </c>
      <c r="S298" s="1"/>
      <c r="T298" s="6"/>
      <c r="U298" s="11">
        <v>9.6536119960830504</v>
      </c>
      <c r="V298" s="11">
        <v>8.7894484392217329</v>
      </c>
      <c r="W298" s="11">
        <v>10.435791365848671</v>
      </c>
      <c r="X298" s="11">
        <v>10.146137690815152</v>
      </c>
      <c r="Y298" s="11">
        <v>10.386304737737468</v>
      </c>
      <c r="Z298" s="11">
        <v>10.540502825773698</v>
      </c>
      <c r="AA298" s="11">
        <v>10.878667874045586</v>
      </c>
      <c r="AB298" s="11">
        <v>10.404713698098396</v>
      </c>
      <c r="AC298" s="11">
        <v>10.740468186781932</v>
      </c>
      <c r="AD298" s="11">
        <v>10.461113338286609</v>
      </c>
      <c r="AE298" s="11">
        <v>11.112274093463883</v>
      </c>
      <c r="AF298" s="11">
        <v>10.957055934575564</v>
      </c>
      <c r="AG298" s="11">
        <v>10.962292997604044</v>
      </c>
      <c r="AH298" s="11">
        <v>10.985816919638699</v>
      </c>
      <c r="AI298" s="11">
        <v>11.073076625028946</v>
      </c>
      <c r="AJ298" s="11">
        <v>11.182483784481812</v>
      </c>
      <c r="AK298" s="6"/>
      <c r="AL298" t="s">
        <v>1076</v>
      </c>
      <c r="AM298">
        <v>0</v>
      </c>
      <c r="AN298" s="6"/>
      <c r="AO298" s="20">
        <v>-1.1251</v>
      </c>
      <c r="AP298" s="20">
        <v>-1.7724</v>
      </c>
      <c r="AQ298" s="20">
        <v>-0.67549999999999999</v>
      </c>
      <c r="AR298" s="20">
        <v>-0.81040000000000001</v>
      </c>
      <c r="AS298" s="20">
        <v>-0.57489999999999997</v>
      </c>
      <c r="AT298" s="20">
        <v>-0.4446</v>
      </c>
      <c r="AU298" s="20">
        <v>-0.19400000000000001</v>
      </c>
      <c r="AV298" s="20">
        <v>-0.77669999999999995</v>
      </c>
      <c r="AW298" s="6"/>
      <c r="AX298" s="18">
        <v>1.9429999999999999E-8</v>
      </c>
      <c r="AY298" s="18">
        <v>2.215E-16</v>
      </c>
      <c r="AZ298" s="18">
        <v>5.5840000000000002E-4</v>
      </c>
      <c r="BA298" s="18">
        <v>3.65E-5</v>
      </c>
      <c r="BB298" s="18">
        <v>3.3279999999999998E-3</v>
      </c>
      <c r="BC298" s="18">
        <v>2.3210000000000001E-2</v>
      </c>
      <c r="BD298" s="18">
        <v>0.32069999999999999</v>
      </c>
      <c r="BE298" s="18">
        <v>7.3789999999999997E-5</v>
      </c>
      <c r="BF298" s="13"/>
      <c r="BG298" t="s">
        <v>1164</v>
      </c>
      <c r="BH298" t="s">
        <v>1159</v>
      </c>
      <c r="BI298" t="s">
        <v>1113</v>
      </c>
      <c r="BJ298" t="s">
        <v>1114</v>
      </c>
      <c r="BK298" t="s">
        <v>1115</v>
      </c>
      <c r="BL298" t="s">
        <v>1116</v>
      </c>
      <c r="BM298" t="s">
        <v>1117</v>
      </c>
      <c r="BN298" s="13"/>
      <c r="BO298" t="s">
        <v>973</v>
      </c>
      <c r="BP298" t="s">
        <v>973</v>
      </c>
      <c r="BQ298" t="s">
        <v>973</v>
      </c>
      <c r="BR298" t="s">
        <v>973</v>
      </c>
    </row>
    <row r="299" spans="1:70" x14ac:dyDescent="0.25">
      <c r="A299" t="s">
        <v>636</v>
      </c>
      <c r="B299" t="s">
        <v>61</v>
      </c>
      <c r="C299" t="s">
        <v>32</v>
      </c>
      <c r="D299" s="6"/>
      <c r="E299" s="9" t="str">
        <f>HYPERLINK("http://plants.ensembl.org/Triticum_aestivum/Gene/Summary?g=TRIAE_CS42_5AL_TGACv1_376981_AA1242930","TRIAE_CS42_5AL_TGACv1_376981_AA1242930")</f>
        <v>TRIAE_CS42_5AL_TGACv1_376981_AA1242930</v>
      </c>
      <c r="H299" s="1" t="s">
        <v>1051</v>
      </c>
      <c r="I299" s="1" t="s">
        <v>1051</v>
      </c>
      <c r="J299" s="1" t="s">
        <v>1051</v>
      </c>
      <c r="L299" s="6"/>
      <c r="M299" s="1" t="s">
        <v>973</v>
      </c>
      <c r="N299" s="1" t="s">
        <v>973</v>
      </c>
      <c r="O299" s="1">
        <v>1</v>
      </c>
      <c r="P299" s="1" t="s">
        <v>973</v>
      </c>
      <c r="Q299" s="1" t="s">
        <v>973</v>
      </c>
      <c r="R299" s="1" t="s">
        <v>973</v>
      </c>
      <c r="S299" s="1"/>
      <c r="T299" s="6"/>
      <c r="U299" s="11">
        <v>6.1120835894171313</v>
      </c>
      <c r="V299" s="11">
        <v>7.303475436732989</v>
      </c>
      <c r="W299" s="11">
        <v>3.5112571775205845</v>
      </c>
      <c r="X299" s="11">
        <v>3.4421827020370772</v>
      </c>
      <c r="Y299" s="11">
        <v>4.9331020490658508</v>
      </c>
      <c r="Z299" s="11">
        <v>4.6082908041857724</v>
      </c>
      <c r="AA299" s="11">
        <v>4.0793695769612555</v>
      </c>
      <c r="AB299" s="11">
        <v>3.8370686161953165</v>
      </c>
      <c r="AC299" s="11">
        <v>0.79196683944330915</v>
      </c>
      <c r="AD299" s="11">
        <v>0</v>
      </c>
      <c r="AE299" s="11">
        <v>0.38508125054108833</v>
      </c>
      <c r="AF299" s="11">
        <v>0</v>
      </c>
      <c r="AG299" s="11">
        <v>0.2964280392343483</v>
      </c>
      <c r="AH299" s="11">
        <v>0</v>
      </c>
      <c r="AI299" s="11">
        <v>1.4215689210446307</v>
      </c>
      <c r="AJ299" s="11">
        <v>0.33536891510367295</v>
      </c>
      <c r="AK299" s="6"/>
      <c r="AL299" t="s">
        <v>1077</v>
      </c>
      <c r="AM299">
        <v>2904</v>
      </c>
      <c r="AN299" s="6"/>
      <c r="AO299" s="20">
        <v>6.5209999999999999</v>
      </c>
      <c r="AP299" s="20">
        <v>8.1950000000000003</v>
      </c>
      <c r="AQ299" s="20">
        <v>4.6642000000000001</v>
      </c>
      <c r="AR299" s="20">
        <v>5.3365999999999998</v>
      </c>
      <c r="AS299" s="20">
        <v>6.6750999999999996</v>
      </c>
      <c r="AT299" s="20">
        <v>6.5115999999999996</v>
      </c>
      <c r="AU299" s="20">
        <v>3.1067</v>
      </c>
      <c r="AV299" s="20">
        <v>5.0647000000000002</v>
      </c>
      <c r="AW299" s="6"/>
      <c r="AX299" s="18">
        <v>1.6959999999999999E-10</v>
      </c>
      <c r="AY299" s="18">
        <v>2.28E-12</v>
      </c>
      <c r="AZ299" s="18">
        <v>6.2329999999999994E-5</v>
      </c>
      <c r="BA299" s="18">
        <v>6.8889999999999996E-6</v>
      </c>
      <c r="BB299" s="18">
        <v>2.5629999999999999E-9</v>
      </c>
      <c r="BC299" s="18">
        <v>2.791E-8</v>
      </c>
      <c r="BD299" s="18">
        <v>7.9789999999999993E-5</v>
      </c>
      <c r="BE299" s="18">
        <v>1.7669999999999999E-5</v>
      </c>
      <c r="BF299" s="13"/>
      <c r="BG299" t="s">
        <v>1125</v>
      </c>
      <c r="BH299" t="s">
        <v>1126</v>
      </c>
      <c r="BI299" t="s">
        <v>1113</v>
      </c>
      <c r="BJ299" t="s">
        <v>1114</v>
      </c>
      <c r="BK299" t="s">
        <v>1115</v>
      </c>
      <c r="BL299" t="s">
        <v>1116</v>
      </c>
      <c r="BM299" t="s">
        <v>1117</v>
      </c>
      <c r="BN299" s="13"/>
      <c r="BO299" t="s">
        <v>973</v>
      </c>
      <c r="BP299">
        <v>1</v>
      </c>
      <c r="BQ299" t="s">
        <v>973</v>
      </c>
      <c r="BR299" t="s">
        <v>973</v>
      </c>
    </row>
    <row r="300" spans="1:70" x14ac:dyDescent="0.25">
      <c r="A300" t="s">
        <v>660</v>
      </c>
      <c r="B300" t="s">
        <v>661</v>
      </c>
      <c r="C300" t="s">
        <v>32</v>
      </c>
      <c r="D300" s="6"/>
      <c r="E300" s="9" t="str">
        <f>HYPERLINK("http://plants.ensembl.org/Triticum_aestivum/Gene/Summary?g=TRIAE_CS42_U_TGACv1_640830_AA2076220","TRIAE_CS42_U_TGACv1_640830_AA2076220")</f>
        <v>TRIAE_CS42_U_TGACv1_640830_AA2076220</v>
      </c>
      <c r="F300" s="9" t="str">
        <f>HYPERLINK("http://mar2016-plants.ensembl.org/Triticum_aestivum/Gene/Summary?db=core;g=Traes_5AL_06DC5CDA7","Traes_5AL_06DC5CDA7")</f>
        <v>Traes_5AL_06DC5CDA7</v>
      </c>
      <c r="H300" s="8" t="str">
        <f>HYPERLINK("http://plants.ensembl.org/Brachypodium_distachyon/Gene/Summary?g=Bradi1g03880","Bradi1g03880")</f>
        <v>Bradi1g03880</v>
      </c>
      <c r="I300" s="8" t="str">
        <f>HYPERLINK("http://plants.ensembl.org/Arabidopsis_thaliana/Gene/Summary?g=AT2G28550","AT2G28550")</f>
        <v>AT2G28550</v>
      </c>
      <c r="J300" s="9" t="str">
        <f>HYPERLINK("http://plants.ensembl.org/Oryza_sativa/Gene/Summary?db=otherfeatures;g=LOC_Os03g60430","LOC_Os03g60430")</f>
        <v>LOC_Os03g60430</v>
      </c>
      <c r="L300" s="6"/>
      <c r="M300" s="1" t="s">
        <v>973</v>
      </c>
      <c r="N300" s="1" t="s">
        <v>973</v>
      </c>
      <c r="O300" s="1">
        <v>1</v>
      </c>
      <c r="P300" s="1" t="s">
        <v>973</v>
      </c>
      <c r="Q300" s="1" t="s">
        <v>973</v>
      </c>
      <c r="R300" s="1" t="s">
        <v>973</v>
      </c>
      <c r="S300" s="1"/>
      <c r="T300" s="6"/>
      <c r="U300" s="11">
        <v>6.2328493947395529</v>
      </c>
      <c r="V300" s="11">
        <v>4.9297184193708317</v>
      </c>
      <c r="W300" s="11">
        <v>6.6901344329709156</v>
      </c>
      <c r="X300" s="11">
        <v>6.309880721686401</v>
      </c>
      <c r="Y300" s="11">
        <v>6.9019935613968659</v>
      </c>
      <c r="Z300" s="11">
        <v>5.912124485195279</v>
      </c>
      <c r="AA300" s="11">
        <v>7.0240909890600642</v>
      </c>
      <c r="AB300" s="11">
        <v>5.9030961310531778</v>
      </c>
      <c r="AC300" s="11">
        <v>6.8446831706422104</v>
      </c>
      <c r="AD300" s="11">
        <v>6.0302448401814974</v>
      </c>
      <c r="AE300" s="11">
        <v>6.845699958255989</v>
      </c>
      <c r="AF300" s="11">
        <v>6.0116633531218433</v>
      </c>
      <c r="AG300" s="11">
        <v>7.075729783165758</v>
      </c>
      <c r="AH300" s="11">
        <v>6.1363834976362126</v>
      </c>
      <c r="AI300" s="11">
        <v>6.6112973216264637</v>
      </c>
      <c r="AJ300" s="11">
        <v>6.1419436277229709</v>
      </c>
      <c r="AK300" s="6"/>
      <c r="AL300" t="s">
        <v>1105</v>
      </c>
      <c r="AM300">
        <v>0</v>
      </c>
      <c r="AN300" s="6"/>
      <c r="AO300" s="20">
        <v>-0.49490000000000001</v>
      </c>
      <c r="AP300" s="20">
        <v>-1.3159000000000001</v>
      </c>
      <c r="AQ300" s="20">
        <v>-0.15759999999999999</v>
      </c>
      <c r="AR300" s="20">
        <v>0.29520000000000002</v>
      </c>
      <c r="AS300" s="20">
        <v>-0.17630000000000001</v>
      </c>
      <c r="AT300" s="20">
        <v>-0.2109</v>
      </c>
      <c r="AU300" s="20">
        <v>0.41320000000000001</v>
      </c>
      <c r="AV300" s="20">
        <v>-0.24399999999999999</v>
      </c>
      <c r="AW300" s="6"/>
      <c r="AX300" s="18">
        <v>0.1198</v>
      </c>
      <c r="AY300" s="18">
        <v>2.0470000000000002E-3</v>
      </c>
      <c r="AZ300" s="18">
        <v>0.59379999999999999</v>
      </c>
      <c r="BA300" s="18">
        <v>0.33689999999999998</v>
      </c>
      <c r="BB300" s="18">
        <v>0.54659999999999997</v>
      </c>
      <c r="BC300" s="18">
        <v>0.49430000000000002</v>
      </c>
      <c r="BD300" s="18">
        <v>0.15989999999999999</v>
      </c>
      <c r="BE300" s="18">
        <v>0.43109999999999998</v>
      </c>
      <c r="BF300" s="13"/>
      <c r="BG300" t="s">
        <v>1111</v>
      </c>
      <c r="BH300" t="s">
        <v>1112</v>
      </c>
      <c r="BI300" t="s">
        <v>1113</v>
      </c>
      <c r="BJ300" t="s">
        <v>1217</v>
      </c>
      <c r="BK300" t="s">
        <v>1115</v>
      </c>
      <c r="BL300" t="s">
        <v>1116</v>
      </c>
      <c r="BM300" t="s">
        <v>1117</v>
      </c>
      <c r="BN300" s="13"/>
      <c r="BO300" t="s">
        <v>973</v>
      </c>
      <c r="BP300" t="s">
        <v>973</v>
      </c>
      <c r="BQ300" t="s">
        <v>973</v>
      </c>
      <c r="BR300" t="s">
        <v>973</v>
      </c>
    </row>
    <row r="301" spans="1:70" x14ac:dyDescent="0.25">
      <c r="A301" t="s">
        <v>669</v>
      </c>
      <c r="B301" t="s">
        <v>342</v>
      </c>
      <c r="C301" t="s">
        <v>32</v>
      </c>
      <c r="D301" s="6"/>
      <c r="E301" s="9" t="str">
        <f>HYPERLINK("http://plants.ensembl.org/Triticum_aestivum/Gene/Summary?g=TRIAE_CS42_U_TGACv1_643616_AA2133590","TRIAE_CS42_U_TGACv1_643616_AA2133590")</f>
        <v>TRIAE_CS42_U_TGACv1_643616_AA2133590</v>
      </c>
      <c r="F301" s="9" t="str">
        <f>HYPERLINK("http://mar2016-plants.ensembl.org/Triticum_aestivum/Gene/Summary?db=core;g=Traes_5BL_60FC12DA6","Traes_5BL_60FC12DA6")</f>
        <v>Traes_5BL_60FC12DA6</v>
      </c>
      <c r="H301" s="8" t="str">
        <f>HYPERLINK("http://plants.ensembl.org/Brachypodium_distachyon/Gene/Summary?g=Bradi4g41616","Bradi4g41616")</f>
        <v>Bradi4g41616</v>
      </c>
      <c r="I301" s="1" t="s">
        <v>1051</v>
      </c>
      <c r="J301" s="9" t="str">
        <f>HYPERLINK("http://plants.ensembl.org/Oryza_sativa/Gene/Summary?db=otherfeatures;g=LOC_Os04g32620","LOC_Os04g32620")</f>
        <v>LOC_Os04g32620</v>
      </c>
      <c r="L301" s="6"/>
      <c r="M301" s="1" t="s">
        <v>973</v>
      </c>
      <c r="N301" s="1" t="s">
        <v>973</v>
      </c>
      <c r="O301" s="1">
        <v>1</v>
      </c>
      <c r="P301" s="1" t="s">
        <v>973</v>
      </c>
      <c r="Q301" s="1" t="s">
        <v>973</v>
      </c>
      <c r="R301" s="1" t="s">
        <v>973</v>
      </c>
      <c r="S301" s="1"/>
      <c r="T301" s="6"/>
      <c r="U301" s="11">
        <v>7.4413658950566433</v>
      </c>
      <c r="V301" s="11">
        <v>9.294769222444792</v>
      </c>
      <c r="W301" s="11">
        <v>5.963277589629735</v>
      </c>
      <c r="X301" s="11">
        <v>7.1394145797901087</v>
      </c>
      <c r="Y301" s="11">
        <v>6.8676415818240866</v>
      </c>
      <c r="Z301" s="11">
        <v>6.8322984723090388</v>
      </c>
      <c r="AA301" s="11">
        <v>6.5032294598137197</v>
      </c>
      <c r="AB301" s="11">
        <v>6.0787699260267889</v>
      </c>
      <c r="AC301" s="11">
        <v>2.4353174432710341</v>
      </c>
      <c r="AD301" s="11">
        <v>0.41305242854852736</v>
      </c>
      <c r="AE301" s="11">
        <v>2.8996010274210384</v>
      </c>
      <c r="AF301" s="11">
        <v>1.3878587955129826</v>
      </c>
      <c r="AG301" s="11">
        <v>2.2903260975015343</v>
      </c>
      <c r="AH301" s="11">
        <v>1.4575592724365221</v>
      </c>
      <c r="AI301" s="11">
        <v>1.6634205287102863</v>
      </c>
      <c r="AJ301" s="11">
        <v>0.32238968345021501</v>
      </c>
      <c r="AK301" s="6"/>
      <c r="AL301" t="s">
        <v>1077</v>
      </c>
      <c r="AM301">
        <v>1097</v>
      </c>
      <c r="AN301" s="6"/>
      <c r="AO301" s="20">
        <v>5.2476000000000003</v>
      </c>
      <c r="AP301" s="20">
        <v>9.1643000000000008</v>
      </c>
      <c r="AQ301" s="20">
        <v>3.1553</v>
      </c>
      <c r="AR301" s="20">
        <v>6.4478999999999997</v>
      </c>
      <c r="AS301" s="20">
        <v>4.7336</v>
      </c>
      <c r="AT301" s="20">
        <v>5.7427000000000001</v>
      </c>
      <c r="AU301" s="20">
        <v>5.1264000000000003</v>
      </c>
      <c r="AV301" s="20">
        <v>7.0453999999999999</v>
      </c>
      <c r="AW301" s="6"/>
      <c r="AX301" s="18">
        <v>7.5369999999999994E-11</v>
      </c>
      <c r="AY301" s="18">
        <v>1.9429999999999999E-17</v>
      </c>
      <c r="AZ301" s="18">
        <v>4.1350000000000002E-5</v>
      </c>
      <c r="BA301" s="18">
        <v>2.147E-12</v>
      </c>
      <c r="BB301" s="18">
        <v>8.6459999999999999E-10</v>
      </c>
      <c r="BC301" s="18">
        <v>7.8639999999999999E-11</v>
      </c>
      <c r="BD301" s="18">
        <v>1.006E-9</v>
      </c>
      <c r="BE301" s="18">
        <v>1.1530000000000001E-9</v>
      </c>
      <c r="BF301" s="13"/>
      <c r="BG301" t="s">
        <v>1185</v>
      </c>
      <c r="BH301" t="s">
        <v>1126</v>
      </c>
      <c r="BI301" t="s">
        <v>1113</v>
      </c>
      <c r="BJ301" t="s">
        <v>1114</v>
      </c>
      <c r="BK301" t="s">
        <v>1115</v>
      </c>
      <c r="BL301" t="s">
        <v>1116</v>
      </c>
      <c r="BM301" t="s">
        <v>1117</v>
      </c>
      <c r="BN301" s="13"/>
      <c r="BO301" t="s">
        <v>973</v>
      </c>
      <c r="BP301" t="s">
        <v>973</v>
      </c>
      <c r="BQ301" t="s">
        <v>973</v>
      </c>
      <c r="BR301" t="s">
        <v>973</v>
      </c>
    </row>
    <row r="302" spans="1:70" x14ac:dyDescent="0.25">
      <c r="A302" t="s">
        <v>677</v>
      </c>
      <c r="B302" t="s">
        <v>406</v>
      </c>
      <c r="C302" t="s">
        <v>32</v>
      </c>
      <c r="D302" s="6"/>
      <c r="E302" s="9" t="str">
        <f>HYPERLINK("http://plants.ensembl.org/Triticum_aestivum/Gene/Summary?g=TRIAE_CS42_5BL_TGACv1_404267_AA1293000","TRIAE_CS42_5BL_TGACv1_404267_AA1293000")</f>
        <v>TRIAE_CS42_5BL_TGACv1_404267_AA1293000</v>
      </c>
      <c r="F302" s="9" t="str">
        <f>HYPERLINK("http://mar2016-plants.ensembl.org/Triticum_aestivum/Gene/Summary?db=core;g=Traes_5BL_63E444E80","Traes_5BL_63E444E80")</f>
        <v>Traes_5BL_63E444E80</v>
      </c>
      <c r="H302" s="8" t="str">
        <f>HYPERLINK("http://plants.ensembl.org/Brachypodium_distachyon/Gene/Summary?g=Bradi4g27850","Bradi4g27850")</f>
        <v>Bradi4g27850</v>
      </c>
      <c r="I302" s="1" t="s">
        <v>1051</v>
      </c>
      <c r="J302" s="9" t="str">
        <f>HYPERLINK("http://plants.ensembl.org/Oryza_sativa/Gene/Summary?db=otherfeatures;g=LOC_Os09g13940","LOC_Os09g13940")</f>
        <v>LOC_Os09g13940</v>
      </c>
      <c r="L302" s="6"/>
      <c r="M302" s="1" t="s">
        <v>973</v>
      </c>
      <c r="N302" s="1" t="s">
        <v>973</v>
      </c>
      <c r="O302" s="1">
        <v>1</v>
      </c>
      <c r="P302" s="1" t="s">
        <v>973</v>
      </c>
      <c r="Q302" s="1" t="s">
        <v>973</v>
      </c>
      <c r="R302" s="1" t="s">
        <v>973</v>
      </c>
      <c r="S302" s="1"/>
      <c r="T302" s="6"/>
      <c r="U302" s="11">
        <v>8.2440436235730452</v>
      </c>
      <c r="V302" s="11">
        <v>7.9243750770733934</v>
      </c>
      <c r="W302" s="11">
        <v>7.3321517504412119</v>
      </c>
      <c r="X302" s="11">
        <v>7.4185427622765943</v>
      </c>
      <c r="Y302" s="11">
        <v>7.2918386594653919</v>
      </c>
      <c r="Z302" s="11">
        <v>7.2213902375530639</v>
      </c>
      <c r="AA302" s="11">
        <v>7.0287319471393435</v>
      </c>
      <c r="AB302" s="11">
        <v>7.2578048752920994</v>
      </c>
      <c r="AC302" s="11">
        <v>6.4353041067378083</v>
      </c>
      <c r="AD302" s="11">
        <v>6.2154734625738071</v>
      </c>
      <c r="AE302" s="11">
        <v>6.7487510310245833</v>
      </c>
      <c r="AF302" s="11">
        <v>6.8391080252479171</v>
      </c>
      <c r="AG302" s="11">
        <v>5.6458534202089492</v>
      </c>
      <c r="AH302" s="11">
        <v>6.1649223421500956</v>
      </c>
      <c r="AI302" s="11">
        <v>6.8516395340001379</v>
      </c>
      <c r="AJ302" s="11">
        <v>6.8934232926221952</v>
      </c>
      <c r="AK302" s="6"/>
      <c r="AL302" t="s">
        <v>1077</v>
      </c>
      <c r="AM302">
        <v>40</v>
      </c>
      <c r="AN302" s="6"/>
      <c r="AO302" s="20">
        <v>1.823</v>
      </c>
      <c r="AP302" s="20">
        <v>1.8955</v>
      </c>
      <c r="AQ302" s="20">
        <v>0.58440000000000003</v>
      </c>
      <c r="AR302" s="20">
        <v>0.58360000000000001</v>
      </c>
      <c r="AS302" s="20">
        <v>1.6578999999999999</v>
      </c>
      <c r="AT302" s="20">
        <v>1.0551999999999999</v>
      </c>
      <c r="AU302" s="20">
        <v>0.1779</v>
      </c>
      <c r="AV302" s="20">
        <v>0.36559999999999998</v>
      </c>
      <c r="AW302" s="6"/>
      <c r="AX302" s="18">
        <v>1.035E-13</v>
      </c>
      <c r="AY302" s="18">
        <v>1.471E-11</v>
      </c>
      <c r="AZ302" s="18">
        <v>1.34E-2</v>
      </c>
      <c r="BA302" s="18">
        <v>1.3979999999999999E-2</v>
      </c>
      <c r="BB302" s="18">
        <v>8.8579999999999996E-12</v>
      </c>
      <c r="BC302" s="18">
        <v>1.6099999999999998E-5</v>
      </c>
      <c r="BD302" s="18">
        <v>0.4501</v>
      </c>
      <c r="BE302" s="18">
        <v>0.1232</v>
      </c>
      <c r="BF302" s="13"/>
      <c r="BG302" t="s">
        <v>1308</v>
      </c>
      <c r="BH302" t="s">
        <v>1193</v>
      </c>
      <c r="BI302" t="s">
        <v>1113</v>
      </c>
      <c r="BJ302" t="s">
        <v>1114</v>
      </c>
      <c r="BK302" t="s">
        <v>1115</v>
      </c>
      <c r="BL302" t="s">
        <v>1116</v>
      </c>
      <c r="BM302" t="s">
        <v>1231</v>
      </c>
      <c r="BN302" s="13"/>
      <c r="BO302" t="s">
        <v>973</v>
      </c>
      <c r="BP302" t="s">
        <v>973</v>
      </c>
      <c r="BQ302" t="s">
        <v>973</v>
      </c>
      <c r="BR302" t="s">
        <v>973</v>
      </c>
    </row>
    <row r="303" spans="1:70" x14ac:dyDescent="0.25">
      <c r="A303" t="s">
        <v>678</v>
      </c>
      <c r="B303" t="s">
        <v>461</v>
      </c>
      <c r="C303" t="s">
        <v>462</v>
      </c>
      <c r="D303" s="6"/>
      <c r="E303" s="9" t="str">
        <f>HYPERLINK("http://plants.ensembl.org/Triticum_aestivum/Gene/Summary?g=TRIAE_CS42_5BL_TGACv1_404951_AA1316100","TRIAE_CS42_5BL_TGACv1_404951_AA1316100")</f>
        <v>TRIAE_CS42_5BL_TGACv1_404951_AA1316100</v>
      </c>
      <c r="F303" s="9" t="str">
        <f>HYPERLINK("http://mar2016-plants.ensembl.org/Triticum_aestivum/Gene/Summary?db=core;g=Traes_5BL_4D65B66E2","Traes_5BL_4D65B66E2")</f>
        <v>Traes_5BL_4D65B66E2</v>
      </c>
      <c r="H303" s="8" t="str">
        <f>HYPERLINK("http://plants.ensembl.org/Brachypodium_distachyon/Gene/Summary?g=Bradi4g29010","Bradi4g29010")</f>
        <v>Bradi4g29010</v>
      </c>
      <c r="I303" s="8" t="str">
        <f>HYPERLINK("http://plants.ensembl.org/Arabidopsis_thaliana/Gene/Summary?g=AT4G39780","AT4G39780")</f>
        <v>AT4G39780</v>
      </c>
      <c r="J303" s="9" t="str">
        <f>HYPERLINK("http://plants.ensembl.org/Oryza_sativa/Gene/Summary?db=otherfeatures;g=LOC_Os09g20350","LOC_Os09g20350")</f>
        <v>LOC_Os09g20350</v>
      </c>
      <c r="L303" s="6"/>
      <c r="M303" s="1" t="s">
        <v>973</v>
      </c>
      <c r="N303" s="1" t="s">
        <v>973</v>
      </c>
      <c r="O303" s="1">
        <v>1</v>
      </c>
      <c r="P303" s="1" t="s">
        <v>973</v>
      </c>
      <c r="Q303" s="1" t="s">
        <v>973</v>
      </c>
      <c r="R303" s="1" t="s">
        <v>973</v>
      </c>
      <c r="S303" s="1"/>
      <c r="T303" s="6"/>
      <c r="U303" s="11">
        <v>9.2420366789218722</v>
      </c>
      <c r="V303" s="11">
        <v>10.804333855656239</v>
      </c>
      <c r="W303" s="11">
        <v>9.3690928782365841</v>
      </c>
      <c r="X303" s="11">
        <v>9.6343503425417794</v>
      </c>
      <c r="Y303" s="11">
        <v>8.778401233949289</v>
      </c>
      <c r="Z303" s="11">
        <v>9.1730855308716315</v>
      </c>
      <c r="AA303" s="11">
        <v>9.3203656820591423</v>
      </c>
      <c r="AB303" s="11">
        <v>9.1519358318563793</v>
      </c>
      <c r="AC303" s="11">
        <v>8.7889089396128934</v>
      </c>
      <c r="AD303" s="11">
        <v>9.2113464725858147</v>
      </c>
      <c r="AE303" s="11">
        <v>9.2786919778712029</v>
      </c>
      <c r="AF303" s="11">
        <v>8.8929690608265712</v>
      </c>
      <c r="AG303" s="11">
        <v>8.8653202473677073</v>
      </c>
      <c r="AH303" s="11">
        <v>8.7436916722909004</v>
      </c>
      <c r="AI303" s="11">
        <v>8.9256127893413293</v>
      </c>
      <c r="AJ303" s="11">
        <v>8.497232189762812</v>
      </c>
      <c r="AK303" s="6"/>
      <c r="AL303" t="s">
        <v>1073</v>
      </c>
      <c r="AM303">
        <v>0</v>
      </c>
      <c r="AN303" s="6"/>
      <c r="AO303" s="20">
        <v>0.46229999999999999</v>
      </c>
      <c r="AP303" s="20">
        <v>1.5703</v>
      </c>
      <c r="AQ303" s="20">
        <v>8.9899999999999994E-2</v>
      </c>
      <c r="AR303" s="20">
        <v>0.73760000000000003</v>
      </c>
      <c r="AS303" s="20">
        <v>-8.7599999999999997E-2</v>
      </c>
      <c r="AT303" s="20">
        <v>0.42980000000000002</v>
      </c>
      <c r="AU303" s="20">
        <v>0.39329999999999998</v>
      </c>
      <c r="AV303" s="20">
        <v>0.65300000000000002</v>
      </c>
      <c r="AW303" s="6"/>
      <c r="AX303" s="18">
        <v>0.12</v>
      </c>
      <c r="AY303" s="18">
        <v>1.6119999999999999E-7</v>
      </c>
      <c r="AZ303" s="18">
        <v>0.75900000000000001</v>
      </c>
      <c r="BA303" s="18">
        <v>1.205E-2</v>
      </c>
      <c r="BB303" s="18">
        <v>0.76590000000000003</v>
      </c>
      <c r="BC303" s="18">
        <v>0.14430000000000001</v>
      </c>
      <c r="BD303" s="18">
        <v>0.18</v>
      </c>
      <c r="BE303" s="18">
        <v>2.673E-2</v>
      </c>
      <c r="BF303" s="13"/>
      <c r="BG303" t="s">
        <v>1125</v>
      </c>
      <c r="BH303" t="s">
        <v>1126</v>
      </c>
      <c r="BI303" t="s">
        <v>1113</v>
      </c>
      <c r="BJ303" t="s">
        <v>1127</v>
      </c>
      <c r="BK303" t="s">
        <v>1115</v>
      </c>
      <c r="BL303" t="s">
        <v>1116</v>
      </c>
      <c r="BM303" t="s">
        <v>1117</v>
      </c>
      <c r="BN303" s="13"/>
      <c r="BO303" t="s">
        <v>973</v>
      </c>
      <c r="BP303">
        <v>1</v>
      </c>
      <c r="BQ303" t="s">
        <v>973</v>
      </c>
      <c r="BR303" t="s">
        <v>973</v>
      </c>
    </row>
    <row r="304" spans="1:70" x14ac:dyDescent="0.25">
      <c r="A304" t="s">
        <v>686</v>
      </c>
      <c r="B304" t="s">
        <v>553</v>
      </c>
      <c r="C304" t="s">
        <v>32</v>
      </c>
      <c r="D304" s="6"/>
      <c r="E304" s="9" t="str">
        <f>HYPERLINK("http://plants.ensembl.org/Triticum_aestivum/Gene/Summary?g=TRIAE_CS42_5BL_TGACv1_406843_AA1350490","TRIAE_CS42_5BL_TGACv1_406843_AA1350490")</f>
        <v>TRIAE_CS42_5BL_TGACv1_406843_AA1350490</v>
      </c>
      <c r="F304" s="9" t="str">
        <f>HYPERLINK("http://mar2016-plants.ensembl.org/Triticum_aestivum/Gene/Summary?db=core;g=Traes_5BL_7F84602F3","Traes_5BL_7F84602F3")</f>
        <v>Traes_5BL_7F84602F3</v>
      </c>
      <c r="H304" s="8" t="str">
        <f>HYPERLINK("http://plants.ensembl.org/Brachypodium_distachyon/Gene/Summary?g=Bradi4g31040","Bradi4g31040")</f>
        <v>Bradi4g31040</v>
      </c>
      <c r="I304" s="1" t="s">
        <v>1051</v>
      </c>
      <c r="J304" s="9" t="str">
        <f>HYPERLINK("http://plants.ensembl.org/Oryza_sativa/Gene/Summary?db=otherfeatures;g=LOC_Os09g26420","LOC_Os09g26420")</f>
        <v>LOC_Os09g26420</v>
      </c>
      <c r="L304" s="6"/>
      <c r="M304" s="1" t="s">
        <v>973</v>
      </c>
      <c r="N304" s="1" t="s">
        <v>973</v>
      </c>
      <c r="O304" s="1">
        <v>1</v>
      </c>
      <c r="P304" s="1" t="s">
        <v>973</v>
      </c>
      <c r="Q304" s="1" t="s">
        <v>973</v>
      </c>
      <c r="R304" s="1" t="s">
        <v>973</v>
      </c>
      <c r="S304" s="1"/>
      <c r="T304" s="6"/>
      <c r="U304" s="11">
        <v>9.5898907956103301</v>
      </c>
      <c r="V304" s="11">
        <v>8.7487277777760077</v>
      </c>
      <c r="W304" s="11">
        <v>10.506307448849121</v>
      </c>
      <c r="X304" s="11">
        <v>10.037790814244405</v>
      </c>
      <c r="Y304" s="11">
        <v>9.9151453990292673</v>
      </c>
      <c r="Z304" s="11">
        <v>9.8767552273649901</v>
      </c>
      <c r="AA304" s="11">
        <v>10.885273746166833</v>
      </c>
      <c r="AB304" s="11">
        <v>10.549715884049604</v>
      </c>
      <c r="AC304" s="11">
        <v>10.929893227397278</v>
      </c>
      <c r="AD304" s="11">
        <v>10.552310748525649</v>
      </c>
      <c r="AE304" s="11">
        <v>10.870563847079071</v>
      </c>
      <c r="AF304" s="11">
        <v>10.887844531201704</v>
      </c>
      <c r="AG304" s="11">
        <v>10.367645498471919</v>
      </c>
      <c r="AH304" s="11">
        <v>10.41804756784934</v>
      </c>
      <c r="AI304" s="11">
        <v>11.286568985092574</v>
      </c>
      <c r="AJ304" s="11">
        <v>10.659575505821689</v>
      </c>
      <c r="AK304" s="6"/>
      <c r="AL304" t="s">
        <v>1076</v>
      </c>
      <c r="AM304">
        <v>0</v>
      </c>
      <c r="AN304" s="6"/>
      <c r="AO304" s="20">
        <v>-1.3573999999999999</v>
      </c>
      <c r="AP304" s="20">
        <v>-1.8811</v>
      </c>
      <c r="AQ304" s="20">
        <v>-0.36370000000000002</v>
      </c>
      <c r="AR304" s="20">
        <v>-0.84960000000000002</v>
      </c>
      <c r="AS304" s="20">
        <v>-0.45140000000000002</v>
      </c>
      <c r="AT304" s="20">
        <v>-0.54069999999999996</v>
      </c>
      <c r="AU304" s="20">
        <v>-0.40079999999999999</v>
      </c>
      <c r="AV304" s="20">
        <v>-0.1096</v>
      </c>
      <c r="AW304" s="6"/>
      <c r="AX304" s="18">
        <v>3.3110000000000003E-10</v>
      </c>
      <c r="AY304" s="18">
        <v>3.478E-16</v>
      </c>
      <c r="AZ304" s="18">
        <v>8.5940000000000003E-2</v>
      </c>
      <c r="BA304" s="18">
        <v>6.3230000000000003E-5</v>
      </c>
      <c r="BB304" s="18">
        <v>3.3640000000000003E-2</v>
      </c>
      <c r="BC304" s="18">
        <v>1.102E-2</v>
      </c>
      <c r="BD304" s="18">
        <v>5.7880000000000001E-2</v>
      </c>
      <c r="BE304" s="18">
        <v>0.60509999999999997</v>
      </c>
      <c r="BF304" s="13"/>
      <c r="BG304" t="s">
        <v>1164</v>
      </c>
      <c r="BH304" t="s">
        <v>1159</v>
      </c>
      <c r="BI304" t="s">
        <v>1113</v>
      </c>
      <c r="BJ304" t="s">
        <v>1114</v>
      </c>
      <c r="BK304" t="s">
        <v>1115</v>
      </c>
      <c r="BL304" t="s">
        <v>1116</v>
      </c>
      <c r="BM304" t="s">
        <v>1117</v>
      </c>
      <c r="BN304" s="13"/>
      <c r="BO304" t="s">
        <v>973</v>
      </c>
      <c r="BP304" t="s">
        <v>973</v>
      </c>
      <c r="BQ304" t="s">
        <v>973</v>
      </c>
      <c r="BR304" t="s">
        <v>973</v>
      </c>
    </row>
    <row r="305" spans="1:70" x14ac:dyDescent="0.25">
      <c r="A305" t="s">
        <v>690</v>
      </c>
      <c r="B305" t="s">
        <v>61</v>
      </c>
      <c r="C305" t="s">
        <v>32</v>
      </c>
      <c r="D305" s="6"/>
      <c r="E305" s="9" t="str">
        <f>HYPERLINK("http://plants.ensembl.org/Triticum_aestivum/Gene/Summary?g=TRIAE_CS42_5BL_TGACv1_406063_AA1340110","TRIAE_CS42_5BL_TGACv1_406063_AA1340110")</f>
        <v>TRIAE_CS42_5BL_TGACv1_406063_AA1340110</v>
      </c>
      <c r="F305" s="9" t="str">
        <f>HYPERLINK("http://mar2016-plants.ensembl.org/Triticum_aestivum/Gene/Summary?db=core;g=Traes_5BL_F5D379AFC","Traes_5BL_F5D379AFC")</f>
        <v>Traes_5BL_F5D379AFC</v>
      </c>
      <c r="G305" t="s">
        <v>1020</v>
      </c>
      <c r="H305" s="1" t="s">
        <v>1051</v>
      </c>
      <c r="I305" s="8" t="str">
        <f>HYPERLINK("http://plants.ensembl.org/Arabidopsis_thaliana/Gene/Summary?g=AT4G34410","AT4G34410")</f>
        <v>AT4G34410</v>
      </c>
      <c r="J305" s="9" t="str">
        <f>HYPERLINK("http://plants.ensembl.org/Oryza_sativa/Gene/Summary?g=OS08G0474000","OS08G0474000")</f>
        <v>OS08G0474000</v>
      </c>
      <c r="K305" s="9" t="str">
        <f>HYPERLINK("http://plants.ensembl.org/Zea_mays/Gene/Summary?db=otherfeatures;g=GRMZM2G369472","GRMZM2G369472")</f>
        <v>GRMZM2G369472</v>
      </c>
      <c r="L305" s="6"/>
      <c r="M305" t="s">
        <v>973</v>
      </c>
      <c r="N305" t="s">
        <v>973</v>
      </c>
      <c r="O305">
        <v>1</v>
      </c>
      <c r="P305" t="s">
        <v>973</v>
      </c>
      <c r="S305" t="s">
        <v>973</v>
      </c>
      <c r="T305" s="6"/>
      <c r="U305" s="11">
        <v>5.5090138099535064</v>
      </c>
      <c r="V305" s="11">
        <v>6.8973150597132138</v>
      </c>
      <c r="W305" s="11">
        <v>1.9059926393010231</v>
      </c>
      <c r="X305" s="11">
        <v>2.7390847986423585</v>
      </c>
      <c r="Y305" s="11">
        <v>3.7154980574773444</v>
      </c>
      <c r="Z305" s="11">
        <v>3.0352426594508937</v>
      </c>
      <c r="AA305" s="11">
        <v>3.7469397330835474</v>
      </c>
      <c r="AB305" s="11">
        <v>3.3980265120843893</v>
      </c>
      <c r="AC305" s="11">
        <v>0.50260217423209885</v>
      </c>
      <c r="AD305" s="11">
        <v>0</v>
      </c>
      <c r="AE305" s="11">
        <v>0.59024270806259049</v>
      </c>
      <c r="AF305" s="11">
        <v>0</v>
      </c>
      <c r="AG305" s="11">
        <v>0.16602981449478316</v>
      </c>
      <c r="AH305" s="11">
        <v>0</v>
      </c>
      <c r="AI305" s="11">
        <v>2.3752433641834947</v>
      </c>
      <c r="AJ305" s="11">
        <v>0.83600489524209332</v>
      </c>
      <c r="AK305" s="6"/>
      <c r="AL305" t="s">
        <v>1077</v>
      </c>
      <c r="AM305">
        <v>37</v>
      </c>
      <c r="AN305" s="6"/>
      <c r="AO305" s="20">
        <v>6.5819000000000001</v>
      </c>
      <c r="AP305" s="20">
        <v>7.8602999999999996</v>
      </c>
      <c r="AQ305" s="20">
        <v>2.1335000000000002</v>
      </c>
      <c r="AR305" s="20">
        <v>4.6013000000000002</v>
      </c>
      <c r="AS305" s="20">
        <v>5.4984000000000002</v>
      </c>
      <c r="AT305" s="20">
        <v>4.8912000000000004</v>
      </c>
      <c r="AU305" s="20">
        <v>1.5229999999999999</v>
      </c>
      <c r="AV305" s="20">
        <v>3.4687000000000001</v>
      </c>
      <c r="AW305" s="6"/>
      <c r="AX305" s="18">
        <v>4.455E-9</v>
      </c>
      <c r="AY305" s="18">
        <v>8.4679999999999999E-12</v>
      </c>
      <c r="AZ305" s="18">
        <v>4.7239999999999997E-2</v>
      </c>
      <c r="BA305" s="18">
        <v>9.6689999999999998E-5</v>
      </c>
      <c r="BB305" s="18">
        <v>8.1800000000000005E-7</v>
      </c>
      <c r="BC305" s="18">
        <v>2.828E-5</v>
      </c>
      <c r="BD305" s="18">
        <v>1.7579999999999998E-2</v>
      </c>
      <c r="BE305" s="18">
        <v>1.8569999999999999E-4</v>
      </c>
      <c r="BF305" s="13"/>
      <c r="BG305" t="s">
        <v>1125</v>
      </c>
      <c r="BH305" t="s">
        <v>1126</v>
      </c>
      <c r="BI305" t="s">
        <v>1113</v>
      </c>
      <c r="BJ305" t="s">
        <v>1114</v>
      </c>
      <c r="BK305" t="s">
        <v>1115</v>
      </c>
      <c r="BL305" t="s">
        <v>1116</v>
      </c>
      <c r="BM305" t="s">
        <v>1117</v>
      </c>
      <c r="BN305" s="13"/>
      <c r="BO305" t="s">
        <v>973</v>
      </c>
      <c r="BP305">
        <v>1</v>
      </c>
      <c r="BQ305" t="s">
        <v>973</v>
      </c>
      <c r="BR305" t="s">
        <v>973</v>
      </c>
    </row>
    <row r="306" spans="1:70" x14ac:dyDescent="0.25">
      <c r="A306" t="s">
        <v>715</v>
      </c>
      <c r="B306" t="s">
        <v>716</v>
      </c>
      <c r="C306" t="s">
        <v>32</v>
      </c>
      <c r="D306" s="6"/>
      <c r="E306" s="9" t="str">
        <f>HYPERLINK("http://plants.ensembl.org/Triticum_aestivum/Gene/Summary?g=TRIAE_CS42_5BL_TGACv1_405552_AA1330070","TRIAE_CS42_5BL_TGACv1_405552_AA1330070")</f>
        <v>TRIAE_CS42_5BL_TGACv1_405552_AA1330070</v>
      </c>
      <c r="H306" s="1" t="s">
        <v>1051</v>
      </c>
      <c r="I306" s="1" t="s">
        <v>1051</v>
      </c>
      <c r="J306" s="1" t="s">
        <v>1051</v>
      </c>
      <c r="L306" s="6"/>
      <c r="M306" s="1" t="s">
        <v>973</v>
      </c>
      <c r="N306" s="1" t="s">
        <v>973</v>
      </c>
      <c r="O306" s="1">
        <v>1</v>
      </c>
      <c r="P306" s="1" t="s">
        <v>973</v>
      </c>
      <c r="Q306" s="1" t="s">
        <v>973</v>
      </c>
      <c r="R306" s="1" t="s">
        <v>973</v>
      </c>
      <c r="S306" s="1"/>
      <c r="T306" s="6"/>
      <c r="U306" s="11">
        <v>7.615178889104234</v>
      </c>
      <c r="V306" s="11">
        <v>6.9014389434303238</v>
      </c>
      <c r="W306" s="11">
        <v>4.7910221945035341</v>
      </c>
      <c r="X306" s="11">
        <v>5.2281760672029289</v>
      </c>
      <c r="Y306" s="11">
        <v>5.7080244131232751</v>
      </c>
      <c r="Z306" s="11">
        <v>5.0794918950602606</v>
      </c>
      <c r="AA306" s="11">
        <v>5.7012339065817876</v>
      </c>
      <c r="AB306" s="11">
        <v>5.1622060073345946</v>
      </c>
      <c r="AC306" s="11">
        <v>0.50260217423209885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6"/>
      <c r="AL306" t="s">
        <v>1077</v>
      </c>
      <c r="AM306">
        <v>1630</v>
      </c>
      <c r="AN306" s="6"/>
      <c r="AO306" s="20">
        <v>8.5556000000000001</v>
      </c>
      <c r="AP306" s="20">
        <v>7.6832000000000003</v>
      </c>
      <c r="AQ306" s="20">
        <v>6.7534999999999998</v>
      </c>
      <c r="AR306" s="20">
        <v>7.1074999999999999</v>
      </c>
      <c r="AS306" s="20">
        <v>8.1812000000000005</v>
      </c>
      <c r="AT306" s="20">
        <v>6.9024000000000001</v>
      </c>
      <c r="AU306" s="20">
        <v>7.7138999999999998</v>
      </c>
      <c r="AV306" s="20">
        <v>7.1772999999999998</v>
      </c>
      <c r="AW306" s="6"/>
      <c r="AX306" s="18">
        <v>1.117E-12</v>
      </c>
      <c r="AY306" s="18">
        <v>5.2520000000000001E-10</v>
      </c>
      <c r="AZ306" s="18">
        <v>5.4830000000000002E-8</v>
      </c>
      <c r="BA306" s="18">
        <v>1.036E-8</v>
      </c>
      <c r="BB306" s="18">
        <v>4.1899999999999999E-11</v>
      </c>
      <c r="BC306" s="18">
        <v>2.7100000000000001E-8</v>
      </c>
      <c r="BD306" s="18">
        <v>4.7579999999999995E-10</v>
      </c>
      <c r="BE306" s="18">
        <v>7.6329999999999996E-9</v>
      </c>
      <c r="BF306" s="13"/>
      <c r="BG306" t="s">
        <v>1191</v>
      </c>
      <c r="BH306" t="s">
        <v>1147</v>
      </c>
      <c r="BI306" t="s">
        <v>1113</v>
      </c>
      <c r="BJ306" t="s">
        <v>1114</v>
      </c>
      <c r="BK306" t="s">
        <v>1115</v>
      </c>
      <c r="BL306" t="s">
        <v>1116</v>
      </c>
      <c r="BM306" t="s">
        <v>1117</v>
      </c>
      <c r="BN306" s="13"/>
      <c r="BO306" t="s">
        <v>973</v>
      </c>
      <c r="BP306" t="s">
        <v>973</v>
      </c>
      <c r="BQ306" t="s">
        <v>973</v>
      </c>
      <c r="BR306" t="s">
        <v>973</v>
      </c>
    </row>
    <row r="307" spans="1:70" x14ac:dyDescent="0.25">
      <c r="A307" t="s">
        <v>723</v>
      </c>
      <c r="B307" t="s">
        <v>342</v>
      </c>
      <c r="C307" t="s">
        <v>32</v>
      </c>
      <c r="D307" s="6"/>
      <c r="E307" s="9" t="str">
        <f>HYPERLINK("http://plants.ensembl.org/Triticum_aestivum/Gene/Summary?g=TRIAE_CS42_5DL_TGACv1_434230_AA1432120","TRIAE_CS42_5DL_TGACv1_434230_AA1432120")</f>
        <v>TRIAE_CS42_5DL_TGACv1_434230_AA1432120</v>
      </c>
      <c r="F307" s="9" t="str">
        <f>HYPERLINK("http://mar2016-plants.ensembl.org/Triticum_aestivum/Gene/Summary?db=core;g=Traes_5DL_2F608D851","Traes_5DL_2F608D851")</f>
        <v>Traes_5DL_2F608D851</v>
      </c>
      <c r="H307" s="8" t="str">
        <f>HYPERLINK("http://plants.ensembl.org/Brachypodium_distachyon/Gene/Summary?g=Bradi4g41616","Bradi4g41616")</f>
        <v>Bradi4g41616</v>
      </c>
      <c r="I307" s="1" t="s">
        <v>1051</v>
      </c>
      <c r="J307" s="9" t="str">
        <f>HYPERLINK("http://plants.ensembl.org/Oryza_sativa/Gene/Summary?db=otherfeatures;g=LOC_Os04g32620","LOC_Os04g32620")</f>
        <v>LOC_Os04g32620</v>
      </c>
      <c r="L307" s="6"/>
      <c r="M307" s="1" t="s">
        <v>973</v>
      </c>
      <c r="N307" s="1" t="s">
        <v>973</v>
      </c>
      <c r="O307" s="1">
        <v>1</v>
      </c>
      <c r="P307" s="1" t="s">
        <v>973</v>
      </c>
      <c r="Q307" s="1" t="s">
        <v>973</v>
      </c>
      <c r="R307" s="1" t="s">
        <v>973</v>
      </c>
      <c r="S307" s="1"/>
      <c r="T307" s="6"/>
      <c r="U307" s="11">
        <v>8.1459774760381531</v>
      </c>
      <c r="V307" s="11">
        <v>9.6504485879923365</v>
      </c>
      <c r="W307" s="11">
        <v>6.4646704449834447</v>
      </c>
      <c r="X307" s="11">
        <v>7.1669570788268837</v>
      </c>
      <c r="Y307" s="11">
        <v>7.0927321269428321</v>
      </c>
      <c r="Z307" s="11">
        <v>6.9009155006318119</v>
      </c>
      <c r="AA307" s="11">
        <v>6.4979359085693265</v>
      </c>
      <c r="AB307" s="11">
        <v>5.9688303469546558</v>
      </c>
      <c r="AC307" s="11">
        <v>3.1206947664360127</v>
      </c>
      <c r="AD307" s="11">
        <v>0.70327792398137323</v>
      </c>
      <c r="AE307" s="11">
        <v>2.8866411867352211</v>
      </c>
      <c r="AF307" s="11">
        <v>0.8978857823473092</v>
      </c>
      <c r="AG307" s="11">
        <v>1.5740853569209987</v>
      </c>
      <c r="AH307" s="11">
        <v>0.92764365978373919</v>
      </c>
      <c r="AI307" s="11">
        <v>2.064170063257952</v>
      </c>
      <c r="AJ307" s="11">
        <v>1.1712281815383891</v>
      </c>
      <c r="AK307" s="6"/>
      <c r="AL307" t="s">
        <v>1077</v>
      </c>
      <c r="AM307">
        <v>2675</v>
      </c>
      <c r="AN307" s="6"/>
      <c r="AO307" s="20">
        <v>5.1632999999999996</v>
      </c>
      <c r="AP307" s="20">
        <v>9.0989000000000004</v>
      </c>
      <c r="AQ307" s="20">
        <v>3.6846999999999999</v>
      </c>
      <c r="AR307" s="20">
        <v>6.7784000000000004</v>
      </c>
      <c r="AS307" s="20">
        <v>5.8108000000000004</v>
      </c>
      <c r="AT307" s="20">
        <v>6.6570999999999998</v>
      </c>
      <c r="AU307" s="20">
        <v>4.6477000000000004</v>
      </c>
      <c r="AV307" s="20">
        <v>5.3426</v>
      </c>
      <c r="AW307" s="6"/>
      <c r="AX307" s="18">
        <v>5.0830000000000003E-14</v>
      </c>
      <c r="AY307" s="18">
        <v>3.6789999999999996E-21</v>
      </c>
      <c r="AZ307" s="18">
        <v>7.4190000000000005E-8</v>
      </c>
      <c r="BA307" s="18">
        <v>2.3459999999999999E-14</v>
      </c>
      <c r="BB307" s="18">
        <v>1.896E-15</v>
      </c>
      <c r="BC307" s="18">
        <v>5.5789999999999998E-13</v>
      </c>
      <c r="BD307" s="18">
        <v>1.7709999999999999E-10</v>
      </c>
      <c r="BE307" s="18">
        <v>2.245E-10</v>
      </c>
      <c r="BF307" s="13"/>
      <c r="BG307" t="s">
        <v>1185</v>
      </c>
      <c r="BH307" t="s">
        <v>1144</v>
      </c>
      <c r="BI307" t="s">
        <v>1113</v>
      </c>
      <c r="BJ307" t="s">
        <v>1114</v>
      </c>
      <c r="BK307" t="s">
        <v>1115</v>
      </c>
      <c r="BL307" t="s">
        <v>1116</v>
      </c>
      <c r="BM307" t="s">
        <v>1117</v>
      </c>
      <c r="BN307" s="13"/>
      <c r="BO307" t="s">
        <v>973</v>
      </c>
      <c r="BP307" t="s">
        <v>973</v>
      </c>
      <c r="BQ307" t="s">
        <v>973</v>
      </c>
      <c r="BR307" t="s">
        <v>973</v>
      </c>
    </row>
    <row r="308" spans="1:70" x14ac:dyDescent="0.25">
      <c r="A308" t="s">
        <v>729</v>
      </c>
      <c r="B308" t="s">
        <v>406</v>
      </c>
      <c r="C308" t="s">
        <v>32</v>
      </c>
      <c r="D308" s="6"/>
      <c r="E308" s="9" t="str">
        <f>HYPERLINK("http://plants.ensembl.org/Triticum_aestivum/Gene/Summary?g=TRIAE_CS42_5DL_TGACv1_436113_AA1458150","TRIAE_CS42_5DL_TGACv1_436113_AA1458150")</f>
        <v>TRIAE_CS42_5DL_TGACv1_436113_AA1458150</v>
      </c>
      <c r="F308" s="9" t="str">
        <f>HYPERLINK("http://mar2016-plants.ensembl.org/Triticum_aestivum/Gene/Summary?db=core;g=Traes_5DL_96CF2E239","Traes_5DL_96CF2E239")</f>
        <v>Traes_5DL_96CF2E239</v>
      </c>
      <c r="H308" s="8" t="str">
        <f>HYPERLINK("http://plants.ensembl.org/Brachypodium_distachyon/Gene/Summary?g=Bradi4g27850","Bradi4g27850")</f>
        <v>Bradi4g27850</v>
      </c>
      <c r="I308" s="1" t="s">
        <v>1051</v>
      </c>
      <c r="J308" s="9" t="str">
        <f>HYPERLINK("http://plants.ensembl.org/Oryza_sativa/Gene/Summary?db=otherfeatures;g=LOC_Os09g13940","LOC_Os09g13940")</f>
        <v>LOC_Os09g13940</v>
      </c>
      <c r="L308" s="6"/>
      <c r="M308" s="1" t="s">
        <v>973</v>
      </c>
      <c r="N308" s="1" t="s">
        <v>973</v>
      </c>
      <c r="O308" s="1">
        <v>1</v>
      </c>
      <c r="P308" s="1" t="s">
        <v>973</v>
      </c>
      <c r="Q308" s="1" t="s">
        <v>973</v>
      </c>
      <c r="R308" s="1" t="s">
        <v>973</v>
      </c>
      <c r="S308" s="1"/>
      <c r="T308" s="6"/>
      <c r="U308" s="11">
        <v>8.9683704487497984</v>
      </c>
      <c r="V308" s="11">
        <v>9.0310895845060468</v>
      </c>
      <c r="W308" s="11">
        <v>7.9392022818118386</v>
      </c>
      <c r="X308" s="11">
        <v>7.9115565725310448</v>
      </c>
      <c r="Y308" s="11">
        <v>8.220354141490132</v>
      </c>
      <c r="Z308" s="11">
        <v>8.0731030981886889</v>
      </c>
      <c r="AA308" s="11">
        <v>7.3583921591226851</v>
      </c>
      <c r="AB308" s="11">
        <v>7.8789402749339388</v>
      </c>
      <c r="AC308" s="11">
        <v>6.4593545635489651</v>
      </c>
      <c r="AD308" s="11">
        <v>6.7511052702566667</v>
      </c>
      <c r="AE308" s="11">
        <v>6.8721983659739303</v>
      </c>
      <c r="AF308" s="11">
        <v>7.0868714979892848</v>
      </c>
      <c r="AG308" s="11">
        <v>6.6154957515984609</v>
      </c>
      <c r="AH308" s="11">
        <v>6.6258052630045929</v>
      </c>
      <c r="AI308" s="11">
        <v>6.8628080121416533</v>
      </c>
      <c r="AJ308" s="11">
        <v>7.2832346992553365</v>
      </c>
      <c r="AK308" s="6"/>
      <c r="AL308" t="s">
        <v>1077</v>
      </c>
      <c r="AM308">
        <v>162</v>
      </c>
      <c r="AN308" s="6"/>
      <c r="AO308" s="20">
        <v>2.5446</v>
      </c>
      <c r="AP308" s="20">
        <v>2.3189000000000002</v>
      </c>
      <c r="AQ308" s="20">
        <v>1.0702</v>
      </c>
      <c r="AR308" s="20">
        <v>0.83130000000000004</v>
      </c>
      <c r="AS308" s="20">
        <v>1.611</v>
      </c>
      <c r="AT308" s="20">
        <v>1.4430000000000001</v>
      </c>
      <c r="AU308" s="20">
        <v>0.49869999999999998</v>
      </c>
      <c r="AV308" s="20">
        <v>0.59709999999999996</v>
      </c>
      <c r="AW308" s="6"/>
      <c r="AX308" s="18">
        <v>1.732E-28</v>
      </c>
      <c r="AY308" s="18">
        <v>1.0139999999999999E-20</v>
      </c>
      <c r="AZ308" s="18">
        <v>1.358E-6</v>
      </c>
      <c r="BA308" s="18">
        <v>1.7990000000000001E-4</v>
      </c>
      <c r="BB308" s="18">
        <v>2.134E-13</v>
      </c>
      <c r="BC308" s="18">
        <v>1.3969999999999999E-10</v>
      </c>
      <c r="BD308" s="18">
        <v>2.504E-2</v>
      </c>
      <c r="BE308" s="18">
        <v>6.6540000000000002E-3</v>
      </c>
      <c r="BF308" s="13"/>
      <c r="BG308" t="s">
        <v>1357</v>
      </c>
      <c r="BH308" t="s">
        <v>1262</v>
      </c>
      <c r="BI308" t="s">
        <v>1113</v>
      </c>
      <c r="BJ308" t="s">
        <v>1114</v>
      </c>
      <c r="BK308" t="s">
        <v>1115</v>
      </c>
      <c r="BL308" t="s">
        <v>1116</v>
      </c>
      <c r="BM308" t="s">
        <v>1117</v>
      </c>
      <c r="BN308" s="13"/>
      <c r="BO308" t="s">
        <v>973</v>
      </c>
      <c r="BP308" t="s">
        <v>973</v>
      </c>
      <c r="BQ308" t="s">
        <v>973</v>
      </c>
      <c r="BR308" t="s">
        <v>973</v>
      </c>
    </row>
    <row r="309" spans="1:70" x14ac:dyDescent="0.25">
      <c r="A309" t="s">
        <v>730</v>
      </c>
      <c r="B309" t="s">
        <v>461</v>
      </c>
      <c r="C309" t="s">
        <v>462</v>
      </c>
      <c r="D309" s="6"/>
      <c r="E309" s="9" t="str">
        <f>HYPERLINK("http://plants.ensembl.org/Triticum_aestivum/Gene/Summary?g=TRIAE_CS42_5DL_TGACv1_433643_AA1418260","TRIAE_CS42_5DL_TGACv1_433643_AA1418260")</f>
        <v>TRIAE_CS42_5DL_TGACv1_433643_AA1418260</v>
      </c>
      <c r="F309" s="9" t="str">
        <f>HYPERLINK("http://mar2016-plants.ensembl.org/Triticum_aestivum/Gene/Summary?db=core;g=Traes_5DL_6F35734C4","Traes_5DL_6F35734C4")</f>
        <v>Traes_5DL_6F35734C4</v>
      </c>
      <c r="H309" s="8" t="str">
        <f>HYPERLINK("http://plants.ensembl.org/Brachypodium_distachyon/Gene/Summary?g=Bradi4g29010","Bradi4g29010")</f>
        <v>Bradi4g29010</v>
      </c>
      <c r="I309" s="8" t="str">
        <f>HYPERLINK("http://plants.ensembl.org/Arabidopsis_thaliana/Gene/Summary?g=AT4G39780","AT4G39780")</f>
        <v>AT4G39780</v>
      </c>
      <c r="J309" s="9" t="str">
        <f>HYPERLINK("http://plants.ensembl.org/Oryza_sativa/Gene/Summary?db=otherfeatures;g=LOC_Os09g20350","LOC_Os09g20350")</f>
        <v>LOC_Os09g20350</v>
      </c>
      <c r="L309" s="6"/>
      <c r="M309" s="1" t="s">
        <v>973</v>
      </c>
      <c r="N309" s="1" t="s">
        <v>973</v>
      </c>
      <c r="O309" s="1">
        <v>1</v>
      </c>
      <c r="P309" s="1" t="s">
        <v>973</v>
      </c>
      <c r="Q309" s="1" t="s">
        <v>973</v>
      </c>
      <c r="R309" s="1" t="s">
        <v>973</v>
      </c>
      <c r="S309" s="1"/>
      <c r="T309" s="6"/>
      <c r="U309" s="11">
        <v>9.8483235736215864</v>
      </c>
      <c r="V309" s="11">
        <v>11.146940851960972</v>
      </c>
      <c r="W309" s="11">
        <v>10.053431869570565</v>
      </c>
      <c r="X309" s="11">
        <v>10.237785808243625</v>
      </c>
      <c r="Y309" s="11">
        <v>9.4157514847979105</v>
      </c>
      <c r="Z309" s="11">
        <v>9.8335737612747778</v>
      </c>
      <c r="AA309" s="11">
        <v>9.8244337394326813</v>
      </c>
      <c r="AB309" s="11">
        <v>9.9007693171349</v>
      </c>
      <c r="AC309" s="11">
        <v>9.7485884181225835</v>
      </c>
      <c r="AD309" s="11">
        <v>9.7558545406351183</v>
      </c>
      <c r="AE309" s="11">
        <v>10.035882433571947</v>
      </c>
      <c r="AF309" s="11">
        <v>9.6417376002195514</v>
      </c>
      <c r="AG309" s="11">
        <v>9.6531306759893258</v>
      </c>
      <c r="AH309" s="11">
        <v>9.4929118195798026</v>
      </c>
      <c r="AI309" s="11">
        <v>9.6766029852341866</v>
      </c>
      <c r="AJ309" s="11">
        <v>9.3147811032883414</v>
      </c>
      <c r="AK309" s="6"/>
      <c r="AL309" t="s">
        <v>1073</v>
      </c>
      <c r="AM309">
        <v>0</v>
      </c>
      <c r="AN309" s="6"/>
      <c r="AO309" s="20">
        <v>0.1072</v>
      </c>
      <c r="AP309" s="20">
        <v>1.3696999999999999</v>
      </c>
      <c r="AQ309" s="20">
        <v>1.7399999999999999E-2</v>
      </c>
      <c r="AR309" s="20">
        <v>0.59499999999999997</v>
      </c>
      <c r="AS309" s="20">
        <v>-0.2379</v>
      </c>
      <c r="AT309" s="20">
        <v>0.34129999999999999</v>
      </c>
      <c r="AU309" s="20">
        <v>0.1474</v>
      </c>
      <c r="AV309" s="20">
        <v>0.5847</v>
      </c>
      <c r="AW309" s="6"/>
      <c r="AX309" s="18">
        <v>0.65839999999999999</v>
      </c>
      <c r="AY309" s="18">
        <v>2.4299999999999999E-8</v>
      </c>
      <c r="AZ309" s="18">
        <v>0.94199999999999995</v>
      </c>
      <c r="BA309" s="18">
        <v>1.312E-2</v>
      </c>
      <c r="BB309" s="18">
        <v>0.32190000000000002</v>
      </c>
      <c r="BC309" s="18">
        <v>0.15540000000000001</v>
      </c>
      <c r="BD309" s="18">
        <v>0.53839999999999999</v>
      </c>
      <c r="BE309" s="18">
        <v>1.4999999999999999E-2</v>
      </c>
      <c r="BF309" s="13"/>
      <c r="BG309" t="s">
        <v>1125</v>
      </c>
      <c r="BH309" t="s">
        <v>1269</v>
      </c>
      <c r="BI309" t="s">
        <v>1113</v>
      </c>
      <c r="BJ309" t="s">
        <v>1127</v>
      </c>
      <c r="BK309" t="s">
        <v>1115</v>
      </c>
      <c r="BL309" t="s">
        <v>1116</v>
      </c>
      <c r="BM309" t="s">
        <v>1117</v>
      </c>
      <c r="BN309" s="13"/>
      <c r="BO309" t="s">
        <v>973</v>
      </c>
      <c r="BP309" t="s">
        <v>973</v>
      </c>
      <c r="BQ309" t="s">
        <v>973</v>
      </c>
      <c r="BR309" t="s">
        <v>973</v>
      </c>
    </row>
    <row r="310" spans="1:70" x14ac:dyDescent="0.25">
      <c r="A310" t="s">
        <v>735</v>
      </c>
      <c r="B310" t="s">
        <v>553</v>
      </c>
      <c r="C310" t="s">
        <v>32</v>
      </c>
      <c r="D310" s="6"/>
      <c r="E310" s="9" t="str">
        <f>HYPERLINK("http://plants.ensembl.org/Triticum_aestivum/Gene/Summary?g=TRIAE_CS42_5DL_TGACv1_433751_AA1421200","TRIAE_CS42_5DL_TGACv1_433751_AA1421200")</f>
        <v>TRIAE_CS42_5DL_TGACv1_433751_AA1421200</v>
      </c>
      <c r="F310" s="9" t="str">
        <f>HYPERLINK("http://mar2016-plants.ensembl.org/Triticum_aestivum/Gene/Summary?db=core;g=Traes_5DL_26F3B188A","Traes_5DL_26F3B188A")</f>
        <v>Traes_5DL_26F3B188A</v>
      </c>
      <c r="H310" s="8" t="str">
        <f>HYPERLINK("http://plants.ensembl.org/Brachypodium_distachyon/Gene/Summary?g=Bradi4g31040","Bradi4g31040")</f>
        <v>Bradi4g31040</v>
      </c>
      <c r="I310" s="1" t="s">
        <v>1051</v>
      </c>
      <c r="J310" s="9" t="str">
        <f>HYPERLINK("http://plants.ensembl.org/Oryza_sativa/Gene/Summary?db=otherfeatures;g=LOC_Os09g26420","LOC_Os09g26420")</f>
        <v>LOC_Os09g26420</v>
      </c>
      <c r="L310" s="6"/>
      <c r="M310" s="1" t="s">
        <v>973</v>
      </c>
      <c r="N310" s="1" t="s">
        <v>973</v>
      </c>
      <c r="O310" s="1">
        <v>1</v>
      </c>
      <c r="P310" s="1" t="s">
        <v>973</v>
      </c>
      <c r="Q310" s="1" t="s">
        <v>973</v>
      </c>
      <c r="R310" s="1" t="s">
        <v>973</v>
      </c>
      <c r="S310" s="1"/>
      <c r="T310" s="6"/>
      <c r="U310" s="11">
        <v>9.0330293270270339</v>
      </c>
      <c r="V310" s="11">
        <v>8.2127961201044997</v>
      </c>
      <c r="W310" s="11">
        <v>9.7696824384399275</v>
      </c>
      <c r="X310" s="11">
        <v>9.5205207297938941</v>
      </c>
      <c r="Y310" s="11">
        <v>9.74765766704739</v>
      </c>
      <c r="Z310" s="11">
        <v>9.9968646981601328</v>
      </c>
      <c r="AA310" s="11">
        <v>10.159132523084766</v>
      </c>
      <c r="AB310" s="11">
        <v>9.9108510630742153</v>
      </c>
      <c r="AC310" s="11">
        <v>10.466548918924447</v>
      </c>
      <c r="AD310" s="11">
        <v>10.240873718427169</v>
      </c>
      <c r="AE310" s="11">
        <v>10.269895560844873</v>
      </c>
      <c r="AF310" s="11">
        <v>10.28817746792808</v>
      </c>
      <c r="AG310" s="11">
        <v>10.46811366418623</v>
      </c>
      <c r="AH310" s="11">
        <v>10.595980543981625</v>
      </c>
      <c r="AI310" s="11">
        <v>10.419553849284945</v>
      </c>
      <c r="AJ310" s="11">
        <v>10.277768024655582</v>
      </c>
      <c r="AK310" s="6"/>
      <c r="AL310" t="s">
        <v>1076</v>
      </c>
      <c r="AM310">
        <v>0</v>
      </c>
      <c r="AN310" s="6"/>
      <c r="AO310" s="20">
        <v>-1.4679</v>
      </c>
      <c r="AP310" s="20">
        <v>-2.1278000000000001</v>
      </c>
      <c r="AQ310" s="20">
        <v>-0.49959999999999999</v>
      </c>
      <c r="AR310" s="20">
        <v>-0.76870000000000005</v>
      </c>
      <c r="AS310" s="20">
        <v>-0.71899999999999997</v>
      </c>
      <c r="AT310" s="20">
        <v>-0.59799999999999998</v>
      </c>
      <c r="AU310" s="20">
        <v>-0.25990000000000002</v>
      </c>
      <c r="AV310" s="20">
        <v>-0.36630000000000001</v>
      </c>
      <c r="AW310" s="6"/>
      <c r="AX310" s="18">
        <v>2.7449999999999999E-13</v>
      </c>
      <c r="AY310" s="18">
        <v>8.529E-22</v>
      </c>
      <c r="AZ310" s="18">
        <v>1.023E-2</v>
      </c>
      <c r="BA310" s="18">
        <v>8.2570000000000004E-5</v>
      </c>
      <c r="BB310" s="18">
        <v>2.176E-4</v>
      </c>
      <c r="BC310" s="18">
        <v>2.0869999999999999E-3</v>
      </c>
      <c r="BD310" s="18">
        <v>0.18010000000000001</v>
      </c>
      <c r="BE310" s="18">
        <v>5.9970000000000002E-2</v>
      </c>
      <c r="BF310" s="13"/>
      <c r="BG310" t="s">
        <v>1164</v>
      </c>
      <c r="BH310" t="s">
        <v>1159</v>
      </c>
      <c r="BI310" t="s">
        <v>1113</v>
      </c>
      <c r="BJ310" t="s">
        <v>1114</v>
      </c>
      <c r="BK310" t="s">
        <v>1115</v>
      </c>
      <c r="BL310" t="s">
        <v>1116</v>
      </c>
      <c r="BM310" t="s">
        <v>1117</v>
      </c>
      <c r="BN310" s="13"/>
      <c r="BO310" t="s">
        <v>973</v>
      </c>
      <c r="BP310" t="s">
        <v>973</v>
      </c>
      <c r="BQ310" t="s">
        <v>973</v>
      </c>
      <c r="BR310" t="s">
        <v>973</v>
      </c>
    </row>
    <row r="311" spans="1:70" x14ac:dyDescent="0.25">
      <c r="A311" t="s">
        <v>737</v>
      </c>
      <c r="B311" t="s">
        <v>61</v>
      </c>
      <c r="C311" t="s">
        <v>32</v>
      </c>
      <c r="D311" s="6"/>
      <c r="E311" s="9" t="str">
        <f>HYPERLINK("http://plants.ensembl.org/Triticum_aestivum/Gene/Summary?g=TRIAE_CS42_5DL_TGACv1_435797_AA1455010","TRIAE_CS42_5DL_TGACv1_435797_AA1455010")</f>
        <v>TRIAE_CS42_5DL_TGACv1_435797_AA1455010</v>
      </c>
      <c r="F311" s="9" t="str">
        <f>HYPERLINK("http://mar2016-plants.ensembl.org/Triticum_aestivum/Gene/Summary?db=core;g=Traes_5DL_44017C8CE","Traes_5DL_44017C8CE")</f>
        <v>Traes_5DL_44017C8CE</v>
      </c>
      <c r="H311" s="1" t="s">
        <v>1051</v>
      </c>
      <c r="I311" s="1" t="s">
        <v>1051</v>
      </c>
      <c r="J311" s="1" t="s">
        <v>1051</v>
      </c>
      <c r="L311" s="6"/>
      <c r="M311" s="1" t="s">
        <v>973</v>
      </c>
      <c r="N311" s="1" t="s">
        <v>973</v>
      </c>
      <c r="O311" s="1">
        <v>1</v>
      </c>
      <c r="P311" s="1" t="s">
        <v>973</v>
      </c>
      <c r="Q311" s="1" t="s">
        <v>973</v>
      </c>
      <c r="R311" s="1" t="s">
        <v>973</v>
      </c>
      <c r="S311" s="1"/>
      <c r="T311" s="6"/>
      <c r="U311" s="11">
        <v>6.1289277954379822</v>
      </c>
      <c r="V311" s="11">
        <v>6.9601135579682376</v>
      </c>
      <c r="W311" s="11">
        <v>3.9018065675610814</v>
      </c>
      <c r="X311" s="11">
        <v>3.8251512990992653</v>
      </c>
      <c r="Y311" s="11">
        <v>4.8597410040456275</v>
      </c>
      <c r="Z311" s="11">
        <v>4.3980516022940881</v>
      </c>
      <c r="AA311" s="11">
        <v>3.3058538169687193</v>
      </c>
      <c r="AB311" s="11">
        <v>3.829061374714696</v>
      </c>
      <c r="AC311" s="11">
        <v>1.0399805976908814</v>
      </c>
      <c r="AD311" s="11">
        <v>0</v>
      </c>
      <c r="AE311" s="11">
        <v>0</v>
      </c>
      <c r="AF311" s="11">
        <v>0</v>
      </c>
      <c r="AG311" s="11">
        <v>0.16602981449478316</v>
      </c>
      <c r="AH311" s="11">
        <v>0</v>
      </c>
      <c r="AI311" s="11">
        <v>1.4828482830684653</v>
      </c>
      <c r="AJ311" s="11">
        <v>0.83600489524209332</v>
      </c>
      <c r="AK311" s="6"/>
      <c r="AL311" t="s">
        <v>1077</v>
      </c>
      <c r="AM311">
        <v>2449</v>
      </c>
      <c r="AN311" s="6"/>
      <c r="AO311" s="20">
        <v>6.1262999999999996</v>
      </c>
      <c r="AP311" s="20">
        <v>7.8628</v>
      </c>
      <c r="AQ311" s="20">
        <v>5.9512</v>
      </c>
      <c r="AR311" s="20">
        <v>5.7839999999999998</v>
      </c>
      <c r="AS311" s="20">
        <v>6.6722000000000001</v>
      </c>
      <c r="AT311" s="20">
        <v>6.3243999999999998</v>
      </c>
      <c r="AU311" s="20">
        <v>2.2637999999999998</v>
      </c>
      <c r="AV311" s="20">
        <v>3.9161000000000001</v>
      </c>
      <c r="AW311" s="6"/>
      <c r="AX311" s="18">
        <v>2.0600000000000001E-12</v>
      </c>
      <c r="AY311" s="18">
        <v>2.9219999999999999E-12</v>
      </c>
      <c r="AZ311" s="18">
        <v>1.511E-7</v>
      </c>
      <c r="BA311" s="18">
        <v>3.5999999999999999E-7</v>
      </c>
      <c r="BB311" s="18">
        <v>5.8430000000000004E-10</v>
      </c>
      <c r="BC311" s="18">
        <v>2.1270000000000001E-8</v>
      </c>
      <c r="BD311" s="18">
        <v>1.5610000000000001E-3</v>
      </c>
      <c r="BE311" s="18">
        <v>9.8099999999999992E-6</v>
      </c>
      <c r="BF311" s="13"/>
      <c r="BG311" t="s">
        <v>1125</v>
      </c>
      <c r="BH311" t="s">
        <v>1126</v>
      </c>
      <c r="BI311" t="s">
        <v>1113</v>
      </c>
      <c r="BJ311" t="s">
        <v>1114</v>
      </c>
      <c r="BK311" t="s">
        <v>1115</v>
      </c>
      <c r="BL311" t="s">
        <v>1116</v>
      </c>
      <c r="BM311" t="s">
        <v>1117</v>
      </c>
      <c r="BN311" s="13"/>
      <c r="BO311" t="s">
        <v>973</v>
      </c>
      <c r="BP311">
        <v>1</v>
      </c>
      <c r="BQ311" t="s">
        <v>973</v>
      </c>
      <c r="BR311" t="s">
        <v>973</v>
      </c>
    </row>
    <row r="312" spans="1:70" x14ac:dyDescent="0.25">
      <c r="A312" t="s">
        <v>742</v>
      </c>
      <c r="B312" t="s">
        <v>31</v>
      </c>
      <c r="C312" t="s">
        <v>32</v>
      </c>
      <c r="D312" s="6"/>
      <c r="E312" s="9" t="str">
        <f>HYPERLINK("http://plants.ensembl.org/Triticum_aestivum/Gene/Summary?g=TRIAE_CS42_5DL_TGACv1_434698_AA1440270","TRIAE_CS42_5DL_TGACv1_434698_AA1440270")</f>
        <v>TRIAE_CS42_5DL_TGACv1_434698_AA1440270</v>
      </c>
      <c r="F312" s="9" t="str">
        <f>HYPERLINK("http://mar2016-plants.ensembl.org/Triticum_aestivum/Gene/Summary?db=core;g=Traes_5DL_41E3B1B23","Traes_5DL_41E3B1B23")</f>
        <v>Traes_5DL_41E3B1B23</v>
      </c>
      <c r="H312" s="8" t="str">
        <f>HYPERLINK("http://plants.ensembl.org/Brachypodium_distachyon/Gene/Summary?g=Bradi2g11890","Bradi2g11890")</f>
        <v>Bradi2g11890</v>
      </c>
      <c r="I312" s="1" t="s">
        <v>1051</v>
      </c>
      <c r="J312" s="9" t="str">
        <f>HYPERLINK("http://plants.ensembl.org/Oryza_sativa/Gene/Summary?db=otherfeatures;g=LOC_Os01g21120","LOC_Os01g21120")</f>
        <v>LOC_Os01g21120</v>
      </c>
      <c r="L312" s="6"/>
      <c r="M312" s="1" t="s">
        <v>973</v>
      </c>
      <c r="N312" s="1" t="s">
        <v>973</v>
      </c>
      <c r="O312" s="1">
        <v>1</v>
      </c>
      <c r="P312" s="1" t="s">
        <v>973</v>
      </c>
      <c r="Q312" s="1" t="s">
        <v>973</v>
      </c>
      <c r="R312" s="1" t="s">
        <v>973</v>
      </c>
      <c r="S312" s="1"/>
      <c r="T312" s="6"/>
      <c r="U312" s="11">
        <v>8.5803663651135906</v>
      </c>
      <c r="V312" s="11">
        <v>8.9410692294816254</v>
      </c>
      <c r="W312" s="11">
        <v>6.4470810215164054</v>
      </c>
      <c r="X312" s="11">
        <v>7.1349564089729407</v>
      </c>
      <c r="Y312" s="11">
        <v>6.9593327681185242</v>
      </c>
      <c r="Z312" s="11">
        <v>7.5180065680333836</v>
      </c>
      <c r="AA312" s="11">
        <v>6.1636624216524165</v>
      </c>
      <c r="AB312" s="11">
        <v>7.5250840846913061</v>
      </c>
      <c r="AC312" s="11">
        <v>3.0843874739323978</v>
      </c>
      <c r="AD312" s="11">
        <v>6.1837663717398881</v>
      </c>
      <c r="AE312" s="11">
        <v>4.314297735734292</v>
      </c>
      <c r="AF312" s="11">
        <v>5.5343220793479091</v>
      </c>
      <c r="AG312" s="11">
        <v>3.3573033235533529</v>
      </c>
      <c r="AH312" s="11">
        <v>6.0572379681040767</v>
      </c>
      <c r="AI312" s="11">
        <v>2.8508794150880714</v>
      </c>
      <c r="AJ312" s="11">
        <v>4.8657225498198367</v>
      </c>
      <c r="AK312" s="6"/>
      <c r="AL312" t="s">
        <v>1077</v>
      </c>
      <c r="AM312">
        <v>0</v>
      </c>
      <c r="AN312" s="6"/>
      <c r="AO312" s="20">
        <v>5.6573000000000002</v>
      </c>
      <c r="AP312" s="20">
        <v>2.766</v>
      </c>
      <c r="AQ312" s="20">
        <v>2.1737000000000002</v>
      </c>
      <c r="AR312" s="20">
        <v>1.6088</v>
      </c>
      <c r="AS312" s="20">
        <v>3.7025000000000001</v>
      </c>
      <c r="AT312" s="20">
        <v>1.4617</v>
      </c>
      <c r="AU312" s="20">
        <v>3.4838</v>
      </c>
      <c r="AV312" s="20">
        <v>2.6753</v>
      </c>
      <c r="AW312" s="6"/>
      <c r="AX312" s="18">
        <v>9.4559999999999994E-28</v>
      </c>
      <c r="AY312" s="18">
        <v>2.3760000000000001E-9</v>
      </c>
      <c r="AZ312" s="18">
        <v>3.0620000000000001E-6</v>
      </c>
      <c r="BA312" s="18">
        <v>3.256E-4</v>
      </c>
      <c r="BB312" s="18">
        <v>6.9549999999999996E-15</v>
      </c>
      <c r="BC312" s="18">
        <v>9.3590000000000003E-4</v>
      </c>
      <c r="BD312" s="18">
        <v>1.9960000000000001E-11</v>
      </c>
      <c r="BE312" s="18">
        <v>3.3350000000000002E-9</v>
      </c>
      <c r="BF312" s="13"/>
      <c r="BG312" t="s">
        <v>1275</v>
      </c>
      <c r="BH312" t="s">
        <v>1132</v>
      </c>
      <c r="BI312" t="s">
        <v>1113</v>
      </c>
      <c r="BJ312" t="s">
        <v>1133</v>
      </c>
      <c r="BK312" t="s">
        <v>1115</v>
      </c>
      <c r="BL312" t="s">
        <v>1116</v>
      </c>
      <c r="BM312" t="s">
        <v>1117</v>
      </c>
      <c r="BN312" s="13"/>
      <c r="BO312" t="s">
        <v>973</v>
      </c>
      <c r="BP312" t="s">
        <v>973</v>
      </c>
      <c r="BQ312" t="s">
        <v>973</v>
      </c>
      <c r="BR312" t="s">
        <v>973</v>
      </c>
    </row>
    <row r="313" spans="1:70" x14ac:dyDescent="0.25">
      <c r="A313" t="s">
        <v>753</v>
      </c>
      <c r="B313" t="s">
        <v>511</v>
      </c>
      <c r="C313" t="s">
        <v>32</v>
      </c>
      <c r="D313" s="6"/>
      <c r="E313" s="9" t="str">
        <f>HYPERLINK("http://plants.ensembl.org/Triticum_aestivum/Gene/Summary?g=TRIAE_CS42_5DL_TGACv1_432926_AA1394650","TRIAE_CS42_5DL_TGACv1_432926_AA1394650")</f>
        <v>TRIAE_CS42_5DL_TGACv1_432926_AA1394650</v>
      </c>
      <c r="H313" s="1" t="s">
        <v>1051</v>
      </c>
      <c r="I313" s="1" t="s">
        <v>1051</v>
      </c>
      <c r="J313" s="1" t="s">
        <v>1051</v>
      </c>
      <c r="L313" s="6"/>
      <c r="M313" s="1" t="s">
        <v>973</v>
      </c>
      <c r="N313" s="1" t="s">
        <v>973</v>
      </c>
      <c r="O313" s="1">
        <v>1</v>
      </c>
      <c r="P313" s="1" t="s">
        <v>973</v>
      </c>
      <c r="Q313" s="1" t="s">
        <v>973</v>
      </c>
      <c r="R313" s="1" t="s">
        <v>973</v>
      </c>
      <c r="S313" s="1"/>
      <c r="T313" s="6"/>
      <c r="U313" s="11">
        <v>8.131621206863537</v>
      </c>
      <c r="V313" s="11">
        <v>7.1316104041325064</v>
      </c>
      <c r="W313" s="11">
        <v>7.0574170566003946</v>
      </c>
      <c r="X313" s="11">
        <v>6.8157163101713012</v>
      </c>
      <c r="Y313" s="11">
        <v>7.2660375188630963</v>
      </c>
      <c r="Z313" s="11">
        <v>6.6551772061451206</v>
      </c>
      <c r="AA313" s="11">
        <v>6.177600258069238</v>
      </c>
      <c r="AB313" s="11">
        <v>5.907369010131057</v>
      </c>
      <c r="AC313" s="11">
        <v>2.2568697624418759</v>
      </c>
      <c r="AD313" s="11">
        <v>0.73378816862518204</v>
      </c>
      <c r="AE313" s="11">
        <v>0.81838703565222393</v>
      </c>
      <c r="AF313" s="11">
        <v>1.4340098766875315</v>
      </c>
      <c r="AG313" s="11">
        <v>1.125254339031466</v>
      </c>
      <c r="AH313" s="11">
        <v>0.41243830823088656</v>
      </c>
      <c r="AI313" s="11">
        <v>0.57424686046882689</v>
      </c>
      <c r="AJ313" s="11">
        <v>0.60666331387886285</v>
      </c>
      <c r="AK313" s="6"/>
      <c r="AL313" t="s">
        <v>1077</v>
      </c>
      <c r="AM313">
        <v>1511</v>
      </c>
      <c r="AN313" s="6"/>
      <c r="AO313" s="20">
        <v>6.2343000000000002</v>
      </c>
      <c r="AP313" s="20">
        <v>6.6516999999999999</v>
      </c>
      <c r="AQ313" s="20">
        <v>7.0251999999999999</v>
      </c>
      <c r="AR313" s="20">
        <v>5.7492999999999999</v>
      </c>
      <c r="AS313" s="20">
        <v>6.7763999999999998</v>
      </c>
      <c r="AT313" s="20">
        <v>7.5166000000000004</v>
      </c>
      <c r="AU313" s="20">
        <v>6.6344000000000003</v>
      </c>
      <c r="AV313" s="20">
        <v>6.3497000000000003</v>
      </c>
      <c r="AW313" s="6"/>
      <c r="AX313" s="18">
        <v>2.3180000000000001E-17</v>
      </c>
      <c r="AY313" s="18">
        <v>8.1549999999999999E-12</v>
      </c>
      <c r="AZ313" s="18">
        <v>3.1259999999999998E-14</v>
      </c>
      <c r="BA313" s="18">
        <v>6.2499999999999996E-13</v>
      </c>
      <c r="BB313" s="18">
        <v>7.5960000000000003E-18</v>
      </c>
      <c r="BC313" s="18">
        <v>2.8660000000000001E-11</v>
      </c>
      <c r="BD313" s="18">
        <v>3.495E-11</v>
      </c>
      <c r="BE313" s="18">
        <v>2.2460000000000001E-10</v>
      </c>
      <c r="BF313" s="13"/>
      <c r="BG313" t="s">
        <v>1215</v>
      </c>
      <c r="BH313" t="s">
        <v>1193</v>
      </c>
      <c r="BI313" t="s">
        <v>1113</v>
      </c>
      <c r="BJ313" t="s">
        <v>1114</v>
      </c>
      <c r="BK313" t="s">
        <v>1115</v>
      </c>
      <c r="BL313" t="s">
        <v>1116</v>
      </c>
      <c r="BM313" t="s">
        <v>1117</v>
      </c>
      <c r="BN313" s="13"/>
      <c r="BO313" t="s">
        <v>973</v>
      </c>
      <c r="BP313" t="s">
        <v>973</v>
      </c>
      <c r="BQ313" t="s">
        <v>973</v>
      </c>
      <c r="BR313" t="s">
        <v>973</v>
      </c>
    </row>
    <row r="314" spans="1:70" x14ac:dyDescent="0.25">
      <c r="A314" t="s">
        <v>760</v>
      </c>
      <c r="B314" t="s">
        <v>553</v>
      </c>
      <c r="C314" t="s">
        <v>32</v>
      </c>
      <c r="D314" s="6"/>
      <c r="E314" s="9" t="str">
        <f>HYPERLINK("http://plants.ensembl.org/Triticum_aestivum/Gene/Summary?g=TRIAE_CS42_6AS_TGACv1_486948_AA1566740","TRIAE_CS42_6AS_TGACv1_486948_AA1566740")</f>
        <v>TRIAE_CS42_6AS_TGACv1_486948_AA1566740</v>
      </c>
      <c r="H314" s="1" t="s">
        <v>1051</v>
      </c>
      <c r="I314" s="1" t="s">
        <v>1051</v>
      </c>
      <c r="J314" s="1" t="s">
        <v>1051</v>
      </c>
      <c r="L314" s="6"/>
      <c r="M314" s="1" t="s">
        <v>973</v>
      </c>
      <c r="N314" s="1" t="s">
        <v>973</v>
      </c>
      <c r="O314" s="1">
        <v>1</v>
      </c>
      <c r="P314" s="1" t="s">
        <v>973</v>
      </c>
      <c r="Q314" s="1" t="s">
        <v>973</v>
      </c>
      <c r="R314" s="1" t="s">
        <v>973</v>
      </c>
      <c r="S314" s="1"/>
      <c r="T314" s="6"/>
      <c r="U314" s="11">
        <v>5.6616375023676877</v>
      </c>
      <c r="V314" s="11">
        <v>5.3722208171455312</v>
      </c>
      <c r="W314" s="11">
        <v>5.198749510062882</v>
      </c>
      <c r="X314" s="11">
        <v>6.5176378964931727</v>
      </c>
      <c r="Y314" s="11">
        <v>5.4037119621916592</v>
      </c>
      <c r="Z314" s="11">
        <v>7.0104434391851642</v>
      </c>
      <c r="AA314" s="11">
        <v>4.8089324363514852</v>
      </c>
      <c r="AB314" s="11">
        <v>6.1948697708437948</v>
      </c>
      <c r="AC314" s="11">
        <v>4.9345102112081163</v>
      </c>
      <c r="AD314" s="11">
        <v>7.5065009193675385</v>
      </c>
      <c r="AE314" s="11">
        <v>5.7097850527349649</v>
      </c>
      <c r="AF314" s="11">
        <v>7.1877357510126849</v>
      </c>
      <c r="AG314" s="11">
        <v>4.8371712439736712</v>
      </c>
      <c r="AH314" s="11">
        <v>7.5816593086116555</v>
      </c>
      <c r="AI314" s="11">
        <v>4.619158648122534</v>
      </c>
      <c r="AJ314" s="11">
        <v>7.1093434938202424</v>
      </c>
      <c r="AK314" s="6"/>
      <c r="AL314" t="s">
        <v>1082</v>
      </c>
      <c r="AM314">
        <v>0</v>
      </c>
      <c r="AN314" s="6"/>
      <c r="AO314" s="20">
        <v>0.6421</v>
      </c>
      <c r="AP314" s="20">
        <v>-2.1781000000000001</v>
      </c>
      <c r="AQ314" s="20">
        <v>-0.51590000000000003</v>
      </c>
      <c r="AR314" s="20">
        <v>-0.67530000000000001</v>
      </c>
      <c r="AS314" s="20">
        <v>0.57769999999999999</v>
      </c>
      <c r="AT314" s="20">
        <v>-0.57140000000000002</v>
      </c>
      <c r="AU314" s="20">
        <v>0.21870000000000001</v>
      </c>
      <c r="AV314" s="20">
        <v>-0.91549999999999998</v>
      </c>
      <c r="AW314" s="6"/>
      <c r="AX314" s="18">
        <v>0.1658</v>
      </c>
      <c r="AY314" s="18">
        <v>8.5799999999999992E-6</v>
      </c>
      <c r="AZ314" s="18">
        <v>0.23230000000000001</v>
      </c>
      <c r="BA314" s="18">
        <v>0.1042</v>
      </c>
      <c r="BB314" s="18">
        <v>0.18490000000000001</v>
      </c>
      <c r="BC314" s="18">
        <v>0.1651</v>
      </c>
      <c r="BD314" s="18">
        <v>0.62470000000000003</v>
      </c>
      <c r="BE314" s="18">
        <v>2.8500000000000001E-2</v>
      </c>
      <c r="BF314" s="13"/>
      <c r="BG314" t="s">
        <v>1128</v>
      </c>
      <c r="BH314" t="s">
        <v>1141</v>
      </c>
      <c r="BI314" t="s">
        <v>1113</v>
      </c>
      <c r="BJ314" t="s">
        <v>1142</v>
      </c>
      <c r="BK314" t="s">
        <v>1139</v>
      </c>
      <c r="BL314" t="s">
        <v>1116</v>
      </c>
      <c r="BM314" t="s">
        <v>1117</v>
      </c>
      <c r="BN314" s="13"/>
      <c r="BO314" t="s">
        <v>973</v>
      </c>
      <c r="BP314" t="s">
        <v>973</v>
      </c>
      <c r="BQ314" t="s">
        <v>973</v>
      </c>
      <c r="BR314" t="s">
        <v>973</v>
      </c>
    </row>
    <row r="315" spans="1:70" x14ac:dyDescent="0.25">
      <c r="A315" t="s">
        <v>770</v>
      </c>
      <c r="B315" t="s">
        <v>771</v>
      </c>
      <c r="C315" t="s">
        <v>32</v>
      </c>
      <c r="D315" s="6"/>
      <c r="E315" s="9" t="str">
        <f>HYPERLINK("http://plants.ensembl.org/Triticum_aestivum/Gene/Summary?g=TRIAE_CS42_6AS_TGACv1_486026_AA1555700","TRIAE_CS42_6AS_TGACv1_486026_AA1555700")</f>
        <v>TRIAE_CS42_6AS_TGACv1_486026_AA1555700</v>
      </c>
      <c r="F315" s="9" t="str">
        <f>HYPERLINK("http://mar2016-plants.ensembl.org/Triticum_aestivum/Gene/Summary?db=core;g=Traes_6AS_8E7166D79","Traes_6AS_8E7166D79")</f>
        <v>Traes_6AS_8E7166D79</v>
      </c>
      <c r="H315" s="8" t="str">
        <f>HYPERLINK("http://plants.ensembl.org/Brachypodium_distachyon/Gene/Summary?g=Bradi3g07450","Bradi3g07450")</f>
        <v>Bradi3g07450</v>
      </c>
      <c r="I315" s="8" t="str">
        <f>HYPERLINK("http://plants.ensembl.org/Arabidopsis_thaliana/Gene/Summary?g=AT1G15360","AT1G15360")</f>
        <v>AT1G15360</v>
      </c>
      <c r="J315" s="9" t="str">
        <f>HYPERLINK("http://plants.ensembl.org/Oryza_sativa/Gene/Summary?db=otherfeatures;g=LOC_Os02g10760","LOC_Os02g10760")</f>
        <v>LOC_Os02g10760</v>
      </c>
      <c r="L315" s="6"/>
      <c r="M315" s="1" t="s">
        <v>973</v>
      </c>
      <c r="N315" s="1" t="s">
        <v>973</v>
      </c>
      <c r="O315" s="1">
        <v>1</v>
      </c>
      <c r="P315" s="1" t="s">
        <v>973</v>
      </c>
      <c r="Q315" s="1" t="s">
        <v>973</v>
      </c>
      <c r="R315" s="1" t="s">
        <v>973</v>
      </c>
      <c r="S315" s="1"/>
      <c r="T315" s="6"/>
      <c r="U315" s="11">
        <v>5.3456778655554844</v>
      </c>
      <c r="V315" s="11">
        <v>4.9278853949202448</v>
      </c>
      <c r="W315" s="11">
        <v>6.3719473622235032</v>
      </c>
      <c r="X315" s="11">
        <v>6.098578167791775</v>
      </c>
      <c r="Y315" s="11">
        <v>5.9729445676082307</v>
      </c>
      <c r="Z315" s="11">
        <v>5.8524883112507107</v>
      </c>
      <c r="AA315" s="11">
        <v>5.1751732656637977</v>
      </c>
      <c r="AB315" s="11">
        <v>5.09233713046146</v>
      </c>
      <c r="AC315" s="11">
        <v>5.2295084544072514</v>
      </c>
      <c r="AD315" s="11">
        <v>6.0498500012184264</v>
      </c>
      <c r="AE315" s="11">
        <v>6.5638633366214503</v>
      </c>
      <c r="AF315" s="11">
        <v>6.6593880134932899</v>
      </c>
      <c r="AG315" s="11">
        <v>6.6846551256114966</v>
      </c>
      <c r="AH315" s="11">
        <v>5.868891679041802</v>
      </c>
      <c r="AI315" s="11">
        <v>5.215011966166041</v>
      </c>
      <c r="AJ315" s="11">
        <v>5.5942330250329562</v>
      </c>
      <c r="AK315" s="6"/>
      <c r="AL315" t="s">
        <v>1100</v>
      </c>
      <c r="AM315">
        <v>0</v>
      </c>
      <c r="AN315" s="6"/>
      <c r="AO315" s="20">
        <v>0.13880000000000001</v>
      </c>
      <c r="AP315" s="20">
        <v>-1.2996000000000001</v>
      </c>
      <c r="AQ315" s="20">
        <v>-0.19309999999999999</v>
      </c>
      <c r="AR315" s="20">
        <v>-0.57399999999999995</v>
      </c>
      <c r="AS315" s="20">
        <v>-0.71289999999999998</v>
      </c>
      <c r="AT315" s="20">
        <v>-9.1000000000000004E-3</v>
      </c>
      <c r="AU315" s="20">
        <v>-3.09E-2</v>
      </c>
      <c r="AV315" s="20">
        <v>-0.51090000000000002</v>
      </c>
      <c r="AW315" s="6"/>
      <c r="AX315" s="18">
        <v>0.7016</v>
      </c>
      <c r="AY315" s="18">
        <v>2.4719999999999998E-3</v>
      </c>
      <c r="AZ315" s="18">
        <v>0.52200000000000002</v>
      </c>
      <c r="BA315" s="18">
        <v>6.0679999999999998E-2</v>
      </c>
      <c r="BB315" s="18">
        <v>1.907E-2</v>
      </c>
      <c r="BC315" s="18">
        <v>0.97689999999999999</v>
      </c>
      <c r="BD315" s="18">
        <v>0.92420000000000002</v>
      </c>
      <c r="BE315" s="18">
        <v>0.1222</v>
      </c>
      <c r="BF315" s="13"/>
      <c r="BG315" t="s">
        <v>1111</v>
      </c>
      <c r="BH315" t="s">
        <v>1112</v>
      </c>
      <c r="BI315" t="s">
        <v>1172</v>
      </c>
      <c r="BJ315" t="s">
        <v>1114</v>
      </c>
      <c r="BK315" t="s">
        <v>1115</v>
      </c>
      <c r="BL315" t="s">
        <v>1116</v>
      </c>
      <c r="BM315" t="s">
        <v>1360</v>
      </c>
      <c r="BN315" s="13"/>
      <c r="BO315" t="s">
        <v>973</v>
      </c>
      <c r="BP315" t="s">
        <v>973</v>
      </c>
      <c r="BQ315" t="s">
        <v>973</v>
      </c>
      <c r="BR315" t="s">
        <v>973</v>
      </c>
    </row>
    <row r="316" spans="1:70" x14ac:dyDescent="0.25">
      <c r="A316" t="s">
        <v>783</v>
      </c>
      <c r="B316" t="s">
        <v>461</v>
      </c>
      <c r="C316" t="s">
        <v>462</v>
      </c>
      <c r="D316" s="6"/>
      <c r="E316" s="9" t="str">
        <f>HYPERLINK("http://plants.ensembl.org/Triticum_aestivum/Gene/Summary?g=TRIAE_CS42_6AL_TGACv1_472289_AA1520520","TRIAE_CS42_6AL_TGACv1_472289_AA1520520")</f>
        <v>TRIAE_CS42_6AL_TGACv1_472289_AA1520520</v>
      </c>
      <c r="F316" s="9" t="str">
        <f>HYPERLINK("http://mar2016-plants.ensembl.org/Triticum_aestivum/Gene/Summary?db=core;g=Traes_6AL_A1A99719B","Traes_6AL_A1A99719B")</f>
        <v>Traes_6AL_A1A99719B</v>
      </c>
      <c r="H316" s="8" t="str">
        <f>HYPERLINK("http://plants.ensembl.org/Brachypodium_distachyon/Gene/Summary?g=Bradi3g49810","Bradi3g49810")</f>
        <v>Bradi3g49810</v>
      </c>
      <c r="I316" s="1" t="s">
        <v>1051</v>
      </c>
      <c r="J316" s="9" t="str">
        <f>HYPERLINK("http://plants.ensembl.org/Oryza_sativa/Gene/Summary?db=otherfeatures;g=LOC_Os02g42585","LOC_Os02g42585")</f>
        <v>LOC_Os02g42585</v>
      </c>
      <c r="L316" s="6"/>
      <c r="M316" s="1" t="s">
        <v>973</v>
      </c>
      <c r="N316" s="1" t="s">
        <v>973</v>
      </c>
      <c r="O316" s="1">
        <v>1</v>
      </c>
      <c r="P316" s="1" t="s">
        <v>973</v>
      </c>
      <c r="Q316" s="1" t="s">
        <v>973</v>
      </c>
      <c r="R316" s="1" t="s">
        <v>973</v>
      </c>
      <c r="S316" s="1"/>
      <c r="T316" s="6"/>
      <c r="U316" s="11">
        <v>4.905391016677596</v>
      </c>
      <c r="V316" s="11">
        <v>8.8701861185015964</v>
      </c>
      <c r="W316" s="11">
        <v>4.4123863669502246</v>
      </c>
      <c r="X316" s="11">
        <v>6.5705423701693855</v>
      </c>
      <c r="Y316" s="11">
        <v>4.6724309995880136</v>
      </c>
      <c r="Z316" s="11">
        <v>6.2668733496029221</v>
      </c>
      <c r="AA316" s="11">
        <v>7.1575335556453759</v>
      </c>
      <c r="AB316" s="11">
        <v>6.1947358457408157</v>
      </c>
      <c r="AC316" s="11">
        <v>3.5789910274462184</v>
      </c>
      <c r="AD316" s="11">
        <v>2.4644765918864606</v>
      </c>
      <c r="AE316" s="11">
        <v>4.3037710084308705</v>
      </c>
      <c r="AF316" s="11">
        <v>5.2775223662955435</v>
      </c>
      <c r="AG316" s="11">
        <v>3.3446675574718081</v>
      </c>
      <c r="AH316" s="11">
        <v>2.596633058908774</v>
      </c>
      <c r="AI316" s="11">
        <v>6.0076918657924825</v>
      </c>
      <c r="AJ316" s="11">
        <v>5.5476462141354617</v>
      </c>
      <c r="AK316" s="6"/>
      <c r="AL316" t="s">
        <v>1077</v>
      </c>
      <c r="AM316">
        <v>0</v>
      </c>
      <c r="AN316" s="6"/>
      <c r="AO316" s="20">
        <v>1.4349000000000001</v>
      </c>
      <c r="AP316" s="20">
        <v>6.0909000000000004</v>
      </c>
      <c r="AQ316" s="20">
        <v>0.113</v>
      </c>
      <c r="AR316" s="20">
        <v>1.2609999999999999</v>
      </c>
      <c r="AS316" s="20">
        <v>1.3826000000000001</v>
      </c>
      <c r="AT316" s="20">
        <v>3.7665000000000002</v>
      </c>
      <c r="AU316" s="20">
        <v>1.1292</v>
      </c>
      <c r="AV316" s="20">
        <v>0.63880000000000003</v>
      </c>
      <c r="AW316" s="6"/>
      <c r="AX316" s="18">
        <v>7.8719999999999998E-2</v>
      </c>
      <c r="AY316" s="18">
        <v>3.1679999999999998E-12</v>
      </c>
      <c r="AZ316" s="18">
        <v>0.88549999999999995</v>
      </c>
      <c r="BA316" s="18">
        <v>9.9970000000000003E-2</v>
      </c>
      <c r="BB316" s="18">
        <v>8.0250000000000002E-2</v>
      </c>
      <c r="BC316" s="18">
        <v>4.4649999999999996E-6</v>
      </c>
      <c r="BD316" s="18">
        <v>0.13739999999999999</v>
      </c>
      <c r="BE316" s="18">
        <v>0.40389999999999998</v>
      </c>
      <c r="BF316" s="13"/>
      <c r="BG316" t="s">
        <v>1125</v>
      </c>
      <c r="BH316" t="s">
        <v>1280</v>
      </c>
      <c r="BI316" t="s">
        <v>1113</v>
      </c>
      <c r="BJ316" t="s">
        <v>1127</v>
      </c>
      <c r="BK316" t="s">
        <v>1115</v>
      </c>
      <c r="BL316" t="s">
        <v>1218</v>
      </c>
      <c r="BM316" t="s">
        <v>1117</v>
      </c>
      <c r="BN316" s="13"/>
      <c r="BO316" t="s">
        <v>973</v>
      </c>
      <c r="BP316" t="s">
        <v>973</v>
      </c>
      <c r="BQ316" t="s">
        <v>973</v>
      </c>
      <c r="BR316" t="s">
        <v>973</v>
      </c>
    </row>
    <row r="317" spans="1:70" x14ac:dyDescent="0.25">
      <c r="A317" t="s">
        <v>786</v>
      </c>
      <c r="B317" t="s">
        <v>461</v>
      </c>
      <c r="C317" t="s">
        <v>462</v>
      </c>
      <c r="D317" s="6"/>
      <c r="E317" s="9" t="str">
        <f>HYPERLINK("http://plants.ensembl.org/Triticum_aestivum/Gene/Summary?g=TRIAE_CS42_6AL_TGACv1_471622_AA1511920","TRIAE_CS42_6AL_TGACv1_471622_AA1511920")</f>
        <v>TRIAE_CS42_6AL_TGACv1_471622_AA1511920</v>
      </c>
      <c r="F317" s="9" t="str">
        <f>HYPERLINK("http://mar2016-plants.ensembl.org/Triticum_aestivum/Gene/Summary?db=core;g=Traes_6AL_B67CE5EBD","Traes_6AL_B67CE5EBD")</f>
        <v>Traes_6AL_B67CE5EBD</v>
      </c>
      <c r="H317" s="8" t="str">
        <f>HYPERLINK("http://plants.ensembl.org/Brachypodium_distachyon/Gene/Summary?g=Bradi3g58980","Bradi3g58980")</f>
        <v>Bradi3g58980</v>
      </c>
      <c r="I317" s="8" t="str">
        <f>HYPERLINK("http://plants.ensembl.org/Arabidopsis_thaliana/Gene/Summary?g=AT1G78080","AT1G78080")</f>
        <v>AT1G78080</v>
      </c>
      <c r="J317" s="9" t="str">
        <f>HYPERLINK("http://plants.ensembl.org/Oryza_sativa/Gene/Summary?db=otherfeatures;g=LOC_Os02g51670","LOC_Os02g51670")</f>
        <v>LOC_Os02g51670</v>
      </c>
      <c r="L317" s="6"/>
      <c r="M317" s="1" t="s">
        <v>973</v>
      </c>
      <c r="N317" s="1" t="s">
        <v>973</v>
      </c>
      <c r="O317" s="1">
        <v>1</v>
      </c>
      <c r="P317" s="1" t="s">
        <v>973</v>
      </c>
      <c r="Q317" s="1" t="s">
        <v>973</v>
      </c>
      <c r="R317" s="1" t="s">
        <v>973</v>
      </c>
      <c r="S317" s="1"/>
      <c r="T317" s="6"/>
      <c r="U317" s="11">
        <v>7.5031833373664663</v>
      </c>
      <c r="V317" s="11">
        <v>9.3438578540005732</v>
      </c>
      <c r="W317" s="11">
        <v>7.682271533912834</v>
      </c>
      <c r="X317" s="11">
        <v>7.9877447355608613</v>
      </c>
      <c r="Y317" s="11">
        <v>6.7665386259150564</v>
      </c>
      <c r="Z317" s="11">
        <v>7.1719620373124862</v>
      </c>
      <c r="AA317" s="11">
        <v>7.7495662229211293</v>
      </c>
      <c r="AB317" s="11">
        <v>7.9394477693081882</v>
      </c>
      <c r="AC317" s="11">
        <v>8.2023112721964946</v>
      </c>
      <c r="AD317" s="11">
        <v>8.3207441484421807</v>
      </c>
      <c r="AE317" s="11">
        <v>7.963360830973734</v>
      </c>
      <c r="AF317" s="11">
        <v>7.5198943686464892</v>
      </c>
      <c r="AG317" s="11">
        <v>7.4692052121455239</v>
      </c>
      <c r="AH317" s="11">
        <v>7.3000709346349133</v>
      </c>
      <c r="AI317" s="11">
        <v>8.1167530567422279</v>
      </c>
      <c r="AJ317" s="11">
        <v>7.6909689893669491</v>
      </c>
      <c r="AK317" s="6"/>
      <c r="AL317" t="s">
        <v>1078</v>
      </c>
      <c r="AM317">
        <v>0</v>
      </c>
      <c r="AN317" s="6"/>
      <c r="AO317" s="20">
        <v>-0.69730000000000003</v>
      </c>
      <c r="AP317" s="20">
        <v>0.9899</v>
      </c>
      <c r="AQ317" s="20">
        <v>-0.28149999999999997</v>
      </c>
      <c r="AR317" s="20">
        <v>0.46650000000000003</v>
      </c>
      <c r="AS317" s="20">
        <v>-0.70440000000000003</v>
      </c>
      <c r="AT317" s="20">
        <v>-0.12620000000000001</v>
      </c>
      <c r="AU317" s="20">
        <v>-0.36620000000000003</v>
      </c>
      <c r="AV317" s="20">
        <v>0.24859999999999999</v>
      </c>
      <c r="AW317" s="6"/>
      <c r="AX317" s="18">
        <v>2.0129999999999999E-2</v>
      </c>
      <c r="AY317" s="18">
        <v>1.013E-3</v>
      </c>
      <c r="AZ317" s="18">
        <v>0.33150000000000002</v>
      </c>
      <c r="BA317" s="18">
        <v>0.1096</v>
      </c>
      <c r="BB317" s="18">
        <v>1.7000000000000001E-2</v>
      </c>
      <c r="BC317" s="18">
        <v>0.66859999999999997</v>
      </c>
      <c r="BD317" s="18">
        <v>0.2044</v>
      </c>
      <c r="BE317" s="18">
        <v>0.39250000000000002</v>
      </c>
      <c r="BF317" s="13"/>
      <c r="BG317" t="s">
        <v>1111</v>
      </c>
      <c r="BH317" t="s">
        <v>1126</v>
      </c>
      <c r="BI317" t="s">
        <v>1254</v>
      </c>
      <c r="BJ317" t="s">
        <v>1127</v>
      </c>
      <c r="BK317" t="s">
        <v>1115</v>
      </c>
      <c r="BL317" t="s">
        <v>1116</v>
      </c>
      <c r="BM317" t="s">
        <v>1117</v>
      </c>
      <c r="BN317" s="13"/>
      <c r="BO317" t="s">
        <v>973</v>
      </c>
      <c r="BP317" t="s">
        <v>973</v>
      </c>
      <c r="BQ317" t="s">
        <v>973</v>
      </c>
      <c r="BR317" t="s">
        <v>973</v>
      </c>
    </row>
    <row r="318" spans="1:70" x14ac:dyDescent="0.25">
      <c r="A318" t="s">
        <v>792</v>
      </c>
      <c r="B318" t="s">
        <v>61</v>
      </c>
      <c r="C318" t="s">
        <v>32</v>
      </c>
      <c r="D318" s="6"/>
      <c r="E318" s="9" t="str">
        <f>HYPERLINK("http://plants.ensembl.org/Triticum_aestivum/Gene/Summary?g=TRIAE_CS42_6AL_TGACv1_471895_AA1515700","TRIAE_CS42_6AL_TGACv1_471895_AA1515700")</f>
        <v>TRIAE_CS42_6AL_TGACv1_471895_AA1515700</v>
      </c>
      <c r="F318" s="9" t="str">
        <f>HYPERLINK("http://mar2016-plants.ensembl.org/Triticum_aestivum/Gene/Summary?db=core;g=Traes_6AL_038992367","Traes_6AL_038992367")</f>
        <v>Traes_6AL_038992367</v>
      </c>
      <c r="H318" s="8" t="str">
        <f>HYPERLINK("http://plants.ensembl.org/Brachypodium_distachyon/Gene/Summary?g=Bradi3g58015","Bradi3g58015")</f>
        <v>Bradi3g58015</v>
      </c>
      <c r="I318" s="1" t="s">
        <v>1051</v>
      </c>
      <c r="J318" s="9" t="str">
        <f>HYPERLINK("http://plants.ensembl.org/Oryza_sativa/Gene/Summary?db=otherfeatures;g=LOC_Os02g52670","LOC_Os02g52670")</f>
        <v>LOC_Os02g52670</v>
      </c>
      <c r="L318" s="6"/>
      <c r="M318" s="1" t="s">
        <v>973</v>
      </c>
      <c r="N318" s="1" t="s">
        <v>973</v>
      </c>
      <c r="O318" s="1">
        <v>1</v>
      </c>
      <c r="P318" s="1" t="s">
        <v>973</v>
      </c>
      <c r="Q318" s="1" t="s">
        <v>973</v>
      </c>
      <c r="R318" s="1" t="s">
        <v>973</v>
      </c>
      <c r="S318" s="1"/>
      <c r="T318" s="6"/>
      <c r="U318" s="11">
        <v>3.6225750981783373</v>
      </c>
      <c r="V318" s="11">
        <v>6.9772967166777864</v>
      </c>
      <c r="W318" s="11">
        <v>2.5788582257692623</v>
      </c>
      <c r="X318" s="11">
        <v>3.710459318769959</v>
      </c>
      <c r="Y318" s="11">
        <v>4.3560052635218156</v>
      </c>
      <c r="Z318" s="11">
        <v>3.8472386245020935</v>
      </c>
      <c r="AA318" s="11">
        <v>5.3560393143685365</v>
      </c>
      <c r="AB318" s="11">
        <v>3.5745980682722331</v>
      </c>
      <c r="AC318" s="11">
        <v>2.441279844777811</v>
      </c>
      <c r="AD318" s="11">
        <v>1.3718004531464156</v>
      </c>
      <c r="AE318" s="11">
        <v>1.3480435229979681</v>
      </c>
      <c r="AF318" s="11">
        <v>1.4659048304837652</v>
      </c>
      <c r="AG318" s="11">
        <v>1.2781830422682434</v>
      </c>
      <c r="AH318" s="11">
        <v>0.72569753694686134</v>
      </c>
      <c r="AI318" s="11">
        <v>3.9627464275965929</v>
      </c>
      <c r="AJ318" s="11">
        <v>4.1013026939034782</v>
      </c>
      <c r="AK318" s="6"/>
      <c r="AL318" t="s">
        <v>1077</v>
      </c>
      <c r="AM318">
        <v>0</v>
      </c>
      <c r="AN318" s="6"/>
      <c r="AO318" s="20">
        <v>1.3187</v>
      </c>
      <c r="AP318" s="20">
        <v>5.5721999999999996</v>
      </c>
      <c r="AQ318" s="20">
        <v>1.5562</v>
      </c>
      <c r="AR318" s="20">
        <v>2.3788999999999998</v>
      </c>
      <c r="AS318" s="20">
        <v>3.5924</v>
      </c>
      <c r="AT318" s="20">
        <v>4.1374000000000004</v>
      </c>
      <c r="AU318" s="20">
        <v>1.4275</v>
      </c>
      <c r="AV318" s="20">
        <v>-0.55600000000000005</v>
      </c>
      <c r="AW318" s="6"/>
      <c r="AX318" s="18">
        <v>6.8559999999999996E-2</v>
      </c>
      <c r="AY318" s="18">
        <v>1.127E-11</v>
      </c>
      <c r="AZ318" s="18">
        <v>5.7590000000000002E-2</v>
      </c>
      <c r="BA318" s="18">
        <v>1.5250000000000001E-3</v>
      </c>
      <c r="BB318" s="18">
        <v>7.2799999999999995E-7</v>
      </c>
      <c r="BC318" s="18">
        <v>3.0159999999999999E-5</v>
      </c>
      <c r="BD318" s="18">
        <v>1.321E-2</v>
      </c>
      <c r="BE318" s="18">
        <v>0.36309999999999998</v>
      </c>
      <c r="BF318" s="13"/>
      <c r="BG318" t="s">
        <v>1125</v>
      </c>
      <c r="BH318" t="s">
        <v>1126</v>
      </c>
      <c r="BI318" t="s">
        <v>1113</v>
      </c>
      <c r="BJ318" t="s">
        <v>1127</v>
      </c>
      <c r="BK318" t="s">
        <v>1115</v>
      </c>
      <c r="BL318" t="s">
        <v>1116</v>
      </c>
      <c r="BM318" t="s">
        <v>1117</v>
      </c>
      <c r="BN318" s="13"/>
      <c r="BO318" t="s">
        <v>973</v>
      </c>
      <c r="BP318">
        <v>1</v>
      </c>
      <c r="BQ318" t="s">
        <v>973</v>
      </c>
      <c r="BR318" t="s">
        <v>973</v>
      </c>
    </row>
    <row r="319" spans="1:70" x14ac:dyDescent="0.25">
      <c r="A319" t="s">
        <v>796</v>
      </c>
      <c r="B319" t="s">
        <v>553</v>
      </c>
      <c r="C319" t="s">
        <v>32</v>
      </c>
      <c r="D319" s="6"/>
      <c r="E319" s="9" t="str">
        <f>HYPERLINK("http://plants.ensembl.org/Triticum_aestivum/Gene/Summary?g=TRIAE_CS42_6AL_TGACv1_474109_AA1534140","TRIAE_CS42_6AL_TGACv1_474109_AA1534140")</f>
        <v>TRIAE_CS42_6AL_TGACv1_474109_AA1534140</v>
      </c>
      <c r="F319" s="9" t="str">
        <f>HYPERLINK("http://mar2016-plants.ensembl.org/Triticum_aestivum/Gene/Summary?db=core;g=Traes_6AL_DAA2D7F8A","Traes_6AL_DAA2D7F8A")</f>
        <v>Traes_6AL_DAA2D7F8A</v>
      </c>
      <c r="H319" s="8" t="str">
        <f>HYPERLINK("http://plants.ensembl.org/Brachypodium_distachyon/Gene/Summary?g=Bradi3g60120","Bradi3g60120")</f>
        <v>Bradi3g60120</v>
      </c>
      <c r="I319" s="8" t="str">
        <f>HYPERLINK("http://plants.ensembl.org/Arabidopsis_thaliana/Gene/Summary?g=AT1G53910","AT1G53910")</f>
        <v>AT1G53910</v>
      </c>
      <c r="J319" s="9" t="str">
        <f>HYPERLINK("http://plants.ensembl.org/Oryza_sativa/Gene/Summary?db=otherfeatures;g=LOC_Os02g54160","LOC_Os02g54160")</f>
        <v>LOC_Os02g54160</v>
      </c>
      <c r="L319" s="6"/>
      <c r="M319" s="1" t="s">
        <v>973</v>
      </c>
      <c r="N319" s="1" t="s">
        <v>973</v>
      </c>
      <c r="O319" s="1">
        <v>1</v>
      </c>
      <c r="P319" s="1" t="s">
        <v>973</v>
      </c>
      <c r="Q319" s="1" t="s">
        <v>973</v>
      </c>
      <c r="R319" s="1" t="s">
        <v>973</v>
      </c>
      <c r="S319" s="1"/>
      <c r="T319" s="6"/>
      <c r="U319" s="11">
        <v>9.9824596407225901</v>
      </c>
      <c r="V319" s="11">
        <v>10.02963748092801</v>
      </c>
      <c r="W319" s="11">
        <v>9.5520906869105495</v>
      </c>
      <c r="X319" s="11">
        <v>9.8126572146582696</v>
      </c>
      <c r="Y319" s="11">
        <v>10.00607936616449</v>
      </c>
      <c r="Z319" s="11">
        <v>9.9898721966875215</v>
      </c>
      <c r="AA319" s="11">
        <v>9.378311403633889</v>
      </c>
      <c r="AB319" s="11">
        <v>9.3972323811006468</v>
      </c>
      <c r="AC319" s="11">
        <v>8.9220908834078116</v>
      </c>
      <c r="AD319" s="11">
        <v>9.4163585663354095</v>
      </c>
      <c r="AE319" s="11">
        <v>8.9416171358581593</v>
      </c>
      <c r="AF319" s="11">
        <v>9.5280329295061446</v>
      </c>
      <c r="AG319" s="11">
        <v>8.8268499176261539</v>
      </c>
      <c r="AH319" s="11">
        <v>9.6534857695980403</v>
      </c>
      <c r="AI319" s="11">
        <v>8.6245533722154768</v>
      </c>
      <c r="AJ319" s="11">
        <v>9.3618787267477792</v>
      </c>
      <c r="AK319" s="6"/>
      <c r="AL319" t="s">
        <v>1077</v>
      </c>
      <c r="AM319">
        <v>0</v>
      </c>
      <c r="AN319" s="6"/>
      <c r="AO319" s="20">
        <v>1.0795999999999999</v>
      </c>
      <c r="AP319" s="20">
        <v>0.61780000000000002</v>
      </c>
      <c r="AQ319" s="20">
        <v>0.61109999999999998</v>
      </c>
      <c r="AR319" s="20">
        <v>0.28410000000000002</v>
      </c>
      <c r="AS319" s="20">
        <v>1.1798</v>
      </c>
      <c r="AT319" s="20">
        <v>0.3352</v>
      </c>
      <c r="AU319" s="20">
        <v>0.75660000000000005</v>
      </c>
      <c r="AV319" s="20">
        <v>3.5700000000000003E-2</v>
      </c>
      <c r="AW319" s="6"/>
      <c r="AX319" s="18">
        <v>1.6250000000000001E-10</v>
      </c>
      <c r="AY319" s="18">
        <v>5.0029999999999996E-4</v>
      </c>
      <c r="AZ319" s="18">
        <v>2.242E-4</v>
      </c>
      <c r="BA319" s="18">
        <v>8.4419999999999995E-2</v>
      </c>
      <c r="BB319" s="18">
        <v>7.3060000000000004E-13</v>
      </c>
      <c r="BC319" s="18">
        <v>4.104E-2</v>
      </c>
      <c r="BD319" s="18">
        <v>5.3290000000000001E-6</v>
      </c>
      <c r="BE319" s="18">
        <v>0.82930000000000004</v>
      </c>
      <c r="BF319" s="13"/>
      <c r="BG319" t="s">
        <v>1136</v>
      </c>
      <c r="BH319" t="s">
        <v>1112</v>
      </c>
      <c r="BI319" t="s">
        <v>1113</v>
      </c>
      <c r="BJ319" t="s">
        <v>1114</v>
      </c>
      <c r="BK319" t="s">
        <v>1115</v>
      </c>
      <c r="BL319" t="s">
        <v>1116</v>
      </c>
      <c r="BM319" t="s">
        <v>1117</v>
      </c>
      <c r="BN319" s="13"/>
      <c r="BO319" t="s">
        <v>973</v>
      </c>
      <c r="BP319" t="s">
        <v>973</v>
      </c>
      <c r="BQ319" t="s">
        <v>973</v>
      </c>
      <c r="BR319" t="s">
        <v>973</v>
      </c>
    </row>
    <row r="320" spans="1:70" x14ac:dyDescent="0.25">
      <c r="A320" t="s">
        <v>801</v>
      </c>
      <c r="B320" t="s">
        <v>553</v>
      </c>
      <c r="C320" t="s">
        <v>32</v>
      </c>
      <c r="D320" s="6"/>
      <c r="E320" s="9" t="str">
        <f>HYPERLINK("http://plants.ensembl.org/Triticum_aestivum/Gene/Summary?g=TRIAE_CS42_6BS_TGACv1_514652_AA1662760","TRIAE_CS42_6BS_TGACv1_514652_AA1662760")</f>
        <v>TRIAE_CS42_6BS_TGACv1_514652_AA1662760</v>
      </c>
      <c r="H320" s="1" t="s">
        <v>1051</v>
      </c>
      <c r="I320" s="1" t="s">
        <v>1051</v>
      </c>
      <c r="J320" s="1" t="s">
        <v>1051</v>
      </c>
      <c r="L320" s="6"/>
      <c r="M320" s="1" t="s">
        <v>973</v>
      </c>
      <c r="N320" s="1" t="s">
        <v>973</v>
      </c>
      <c r="O320" s="1">
        <v>1</v>
      </c>
      <c r="P320" s="1" t="s">
        <v>973</v>
      </c>
      <c r="Q320" s="1" t="s">
        <v>973</v>
      </c>
      <c r="R320" s="1" t="s">
        <v>973</v>
      </c>
      <c r="S320" s="1"/>
      <c r="T320" s="6"/>
      <c r="U320" s="11">
        <v>5.3860809089025539</v>
      </c>
      <c r="V320" s="11">
        <v>6.3311193788582143</v>
      </c>
      <c r="W320" s="11">
        <v>5.0277482680304146</v>
      </c>
      <c r="X320" s="11">
        <v>6.5075895832544282</v>
      </c>
      <c r="Y320" s="11">
        <v>5.5137949596201041</v>
      </c>
      <c r="Z320" s="11">
        <v>6.9326277633593785</v>
      </c>
      <c r="AA320" s="11">
        <v>4.2951425976732232</v>
      </c>
      <c r="AB320" s="11">
        <v>6.5283358511585856</v>
      </c>
      <c r="AC320" s="11">
        <v>3.5950182247862528</v>
      </c>
      <c r="AD320" s="11">
        <v>7.1901157035682646</v>
      </c>
      <c r="AE320" s="11">
        <v>5.7444275388922561</v>
      </c>
      <c r="AF320" s="11">
        <v>7.3300829804592533</v>
      </c>
      <c r="AG320" s="11">
        <v>4.7576509099380209</v>
      </c>
      <c r="AH320" s="11">
        <v>7.6804045356001174</v>
      </c>
      <c r="AI320" s="11">
        <v>4.4353996825017701</v>
      </c>
      <c r="AJ320" s="11">
        <v>7.2361714522408667</v>
      </c>
      <c r="AK320" s="6"/>
      <c r="AL320" t="s">
        <v>1081</v>
      </c>
      <c r="AM320">
        <v>0</v>
      </c>
      <c r="AN320" s="6"/>
      <c r="AO320" s="20">
        <v>1.7266999999999999</v>
      </c>
      <c r="AP320" s="20">
        <v>-0.84460000000000002</v>
      </c>
      <c r="AQ320" s="20">
        <v>-0.72299999999999998</v>
      </c>
      <c r="AR320" s="20">
        <v>-0.82420000000000004</v>
      </c>
      <c r="AS320" s="20">
        <v>0.77690000000000003</v>
      </c>
      <c r="AT320" s="20">
        <v>-0.74590000000000001</v>
      </c>
      <c r="AU320" s="20">
        <v>-0.13469999999999999</v>
      </c>
      <c r="AV320" s="20">
        <v>-0.70720000000000005</v>
      </c>
      <c r="AW320" s="6"/>
      <c r="AX320" s="18">
        <v>8.6870000000000003E-4</v>
      </c>
      <c r="AY320" s="18">
        <v>7.6630000000000004E-2</v>
      </c>
      <c r="AZ320" s="18">
        <v>0.1071</v>
      </c>
      <c r="BA320" s="18">
        <v>5.5820000000000002E-2</v>
      </c>
      <c r="BB320" s="18">
        <v>8.455E-2</v>
      </c>
      <c r="BC320" s="18">
        <v>8.1079999999999999E-2</v>
      </c>
      <c r="BD320" s="18">
        <v>0.77539999999999998</v>
      </c>
      <c r="BE320" s="18">
        <v>0.10100000000000001</v>
      </c>
      <c r="BF320" s="13"/>
      <c r="BG320" t="s">
        <v>1111</v>
      </c>
      <c r="BH320" t="s">
        <v>1112</v>
      </c>
      <c r="BI320" t="s">
        <v>1113</v>
      </c>
      <c r="BJ320" t="s">
        <v>1142</v>
      </c>
      <c r="BK320" t="s">
        <v>1139</v>
      </c>
      <c r="BL320" t="s">
        <v>1116</v>
      </c>
      <c r="BM320" t="s">
        <v>1117</v>
      </c>
      <c r="BN320" s="13"/>
      <c r="BO320" t="s">
        <v>973</v>
      </c>
      <c r="BP320" t="s">
        <v>973</v>
      </c>
      <c r="BQ320" t="s">
        <v>973</v>
      </c>
      <c r="BR320" t="s">
        <v>973</v>
      </c>
    </row>
    <row r="321" spans="1:70" x14ac:dyDescent="0.25">
      <c r="A321" t="s">
        <v>806</v>
      </c>
      <c r="B321" t="s">
        <v>807</v>
      </c>
      <c r="C321" t="s">
        <v>32</v>
      </c>
      <c r="D321" s="6"/>
      <c r="E321" s="9" t="str">
        <f>HYPERLINK("http://plants.ensembl.org/Triticum_aestivum/Gene/Summary?g=TRIAE_CS42_6BS_TGACv1_513392_AA1640090","TRIAE_CS42_6BS_TGACv1_513392_AA1640090")</f>
        <v>TRIAE_CS42_6BS_TGACv1_513392_AA1640090</v>
      </c>
      <c r="H321" s="8" t="str">
        <f>HYPERLINK("http://plants.ensembl.org/Brachypodium_distachyon/Gene/Summary?g=Bradi3g07450","Bradi3g07450")</f>
        <v>Bradi3g07450</v>
      </c>
      <c r="I321" s="1" t="s">
        <v>1051</v>
      </c>
      <c r="J321" s="9" t="str">
        <f>HYPERLINK("http://plants.ensembl.org/Oryza_sativa/Gene/Summary?db=otherfeatures;g=LOC_Os02g10760","LOC_Os02g10760")</f>
        <v>LOC_Os02g10760</v>
      </c>
      <c r="L321" s="6"/>
      <c r="M321" s="1" t="s">
        <v>973</v>
      </c>
      <c r="N321" s="1" t="s">
        <v>973</v>
      </c>
      <c r="O321" s="1">
        <v>1</v>
      </c>
      <c r="P321" s="1" t="s">
        <v>973</v>
      </c>
      <c r="Q321" s="1" t="s">
        <v>973</v>
      </c>
      <c r="R321" s="1" t="s">
        <v>973</v>
      </c>
      <c r="S321" s="1"/>
      <c r="T321" s="6"/>
      <c r="U321" s="11">
        <v>5.9749605881355929</v>
      </c>
      <c r="V321" s="11">
        <v>4.683984590299465</v>
      </c>
      <c r="W321" s="11">
        <v>5.9765751971610683</v>
      </c>
      <c r="X321" s="11">
        <v>5.9804305632123542</v>
      </c>
      <c r="Y321" s="11">
        <v>5.8463612592798802</v>
      </c>
      <c r="Z321" s="11">
        <v>6.0201265664162475</v>
      </c>
      <c r="AA321" s="11">
        <v>5.7223649229807272</v>
      </c>
      <c r="AB321" s="11">
        <v>5.5599067781755771</v>
      </c>
      <c r="AC321" s="11">
        <v>5.8553186748020662</v>
      </c>
      <c r="AD321" s="11">
        <v>6.767968566174698</v>
      </c>
      <c r="AE321" s="11">
        <v>6.2922173193416659</v>
      </c>
      <c r="AF321" s="11">
        <v>6.6082222893462532</v>
      </c>
      <c r="AG321" s="11">
        <v>5.9753496961166057</v>
      </c>
      <c r="AH321" s="11">
        <v>6.5423075835102376</v>
      </c>
      <c r="AI321" s="11">
        <v>5.3199538592274429</v>
      </c>
      <c r="AJ321" s="11">
        <v>6.0416474713264767</v>
      </c>
      <c r="AK321" s="6"/>
      <c r="AL321" t="s">
        <v>1102</v>
      </c>
      <c r="AM321">
        <v>0</v>
      </c>
      <c r="AN321" s="6"/>
      <c r="AO321" s="20">
        <v>0.11070000000000001</v>
      </c>
      <c r="AP321" s="20">
        <v>-1.8251999999999999</v>
      </c>
      <c r="AQ321" s="20">
        <v>-0.32140000000000002</v>
      </c>
      <c r="AR321" s="20">
        <v>-0.64859999999999995</v>
      </c>
      <c r="AS321" s="20">
        <v>-0.12039999999999999</v>
      </c>
      <c r="AT321" s="20">
        <v>-0.51859999999999995</v>
      </c>
      <c r="AU321" s="20">
        <v>0.4118</v>
      </c>
      <c r="AV321" s="20">
        <v>-0.48859999999999998</v>
      </c>
      <c r="AW321" s="6"/>
      <c r="AX321" s="18">
        <v>0.70509999999999995</v>
      </c>
      <c r="AY321" s="18">
        <v>1.9980000000000002E-6</v>
      </c>
      <c r="AZ321" s="18">
        <v>0.21410000000000001</v>
      </c>
      <c r="BA321" s="18">
        <v>1.244E-2</v>
      </c>
      <c r="BB321" s="18">
        <v>0.64549999999999996</v>
      </c>
      <c r="BC321" s="18">
        <v>4.4170000000000001E-2</v>
      </c>
      <c r="BD321" s="18">
        <v>0.12920000000000001</v>
      </c>
      <c r="BE321" s="18">
        <v>7.1900000000000006E-2</v>
      </c>
      <c r="BF321" s="13"/>
      <c r="BG321" t="s">
        <v>1128</v>
      </c>
      <c r="BH321" t="s">
        <v>1112</v>
      </c>
      <c r="BI321" t="s">
        <v>1113</v>
      </c>
      <c r="BJ321" t="s">
        <v>1114</v>
      </c>
      <c r="BK321" t="s">
        <v>1115</v>
      </c>
      <c r="BL321" t="s">
        <v>1116</v>
      </c>
      <c r="BM321" t="s">
        <v>1117</v>
      </c>
      <c r="BN321" s="13"/>
      <c r="BO321" t="s">
        <v>973</v>
      </c>
      <c r="BP321" t="s">
        <v>973</v>
      </c>
      <c r="BQ321" t="s">
        <v>973</v>
      </c>
      <c r="BR321" t="s">
        <v>973</v>
      </c>
    </row>
    <row r="322" spans="1:70" x14ac:dyDescent="0.25">
      <c r="A322" t="s">
        <v>815</v>
      </c>
      <c r="B322" t="s">
        <v>461</v>
      </c>
      <c r="C322" t="s">
        <v>462</v>
      </c>
      <c r="D322" s="6"/>
      <c r="E322" s="9" t="str">
        <f>HYPERLINK("http://plants.ensembl.org/Triticum_aestivum/Gene/Summary?g=TRIAE_CS42_6BL_TGACv1_500080_AA1598470","TRIAE_CS42_6BL_TGACv1_500080_AA1598470")</f>
        <v>TRIAE_CS42_6BL_TGACv1_500080_AA1598470</v>
      </c>
      <c r="H322" s="8" t="str">
        <f>HYPERLINK("http://plants.ensembl.org/Brachypodium_distachyon/Gene/Summary?g=Bradi3g49810","Bradi3g49810")</f>
        <v>Bradi3g49810</v>
      </c>
      <c r="I322" s="1" t="s">
        <v>1051</v>
      </c>
      <c r="J322" s="9" t="str">
        <f>HYPERLINK("http://plants.ensembl.org/Oryza_sativa/Gene/Summary?db=otherfeatures;g=LOC_Os02g42585","LOC_Os02g42585")</f>
        <v>LOC_Os02g42585</v>
      </c>
      <c r="L322" s="6"/>
      <c r="M322" s="1" t="s">
        <v>973</v>
      </c>
      <c r="N322" s="1" t="s">
        <v>973</v>
      </c>
      <c r="O322" s="1">
        <v>1</v>
      </c>
      <c r="P322" s="1" t="s">
        <v>973</v>
      </c>
      <c r="Q322" s="1" t="s">
        <v>973</v>
      </c>
      <c r="R322" s="1" t="s">
        <v>973</v>
      </c>
      <c r="S322" s="1"/>
      <c r="T322" s="6"/>
      <c r="U322" s="11">
        <v>5.5765604319160129</v>
      </c>
      <c r="V322" s="11">
        <v>9.012582919375852</v>
      </c>
      <c r="W322" s="11">
        <v>4.3958305697326967</v>
      </c>
      <c r="X322" s="11">
        <v>6.7346093731439511</v>
      </c>
      <c r="Y322" s="11">
        <v>4.7657946202243195</v>
      </c>
      <c r="Z322" s="11">
        <v>6.6891206765626858</v>
      </c>
      <c r="AA322" s="11">
        <v>6.9657254215036026</v>
      </c>
      <c r="AB322" s="11">
        <v>6.6350046063330561</v>
      </c>
      <c r="AC322" s="11">
        <v>3.5172714932179052</v>
      </c>
      <c r="AD322" s="11">
        <v>2.7847133574369929</v>
      </c>
      <c r="AE322" s="11">
        <v>4.1460360466821511</v>
      </c>
      <c r="AF322" s="11">
        <v>5.0027985168559761</v>
      </c>
      <c r="AG322" s="11">
        <v>2.3118324603026847</v>
      </c>
      <c r="AH322" s="11">
        <v>2.3797503293694078</v>
      </c>
      <c r="AI322" s="11">
        <v>5.4760910885459113</v>
      </c>
      <c r="AJ322" s="11">
        <v>5.9164248912039161</v>
      </c>
      <c r="AK322" s="6"/>
      <c r="AL322" t="s">
        <v>1077</v>
      </c>
      <c r="AM322">
        <v>0</v>
      </c>
      <c r="AN322" s="6"/>
      <c r="AO322" s="20">
        <v>2.1352000000000002</v>
      </c>
      <c r="AP322" s="20">
        <v>7.5914999999999999</v>
      </c>
      <c r="AQ322" s="20">
        <v>0.26179999999999998</v>
      </c>
      <c r="AR322" s="20">
        <v>1.6904999999999999</v>
      </c>
      <c r="AS322" s="20">
        <v>2.6021000000000001</v>
      </c>
      <c r="AT322" s="20">
        <v>4.4367999999999999</v>
      </c>
      <c r="AU322" s="20">
        <v>1.468</v>
      </c>
      <c r="AV322" s="20">
        <v>0.70779999999999998</v>
      </c>
      <c r="AW322" s="6"/>
      <c r="AX322" s="18">
        <v>7.2639999999999996E-3</v>
      </c>
      <c r="AY322" s="18">
        <v>1.82E-15</v>
      </c>
      <c r="AZ322" s="18">
        <v>0.73519999999999996</v>
      </c>
      <c r="BA322" s="18">
        <v>2.5159999999999998E-2</v>
      </c>
      <c r="BB322" s="18">
        <v>1.191E-3</v>
      </c>
      <c r="BC322" s="18">
        <v>6.1920000000000001E-8</v>
      </c>
      <c r="BD322" s="18">
        <v>5.0130000000000001E-2</v>
      </c>
      <c r="BE322" s="18">
        <v>0.3448</v>
      </c>
      <c r="BF322" s="13"/>
      <c r="BG322" t="s">
        <v>1210</v>
      </c>
      <c r="BH322" t="s">
        <v>1126</v>
      </c>
      <c r="BI322" t="s">
        <v>1113</v>
      </c>
      <c r="BJ322" t="s">
        <v>1251</v>
      </c>
      <c r="BK322" t="s">
        <v>1115</v>
      </c>
      <c r="BL322" t="s">
        <v>1218</v>
      </c>
      <c r="BM322" t="s">
        <v>1117</v>
      </c>
      <c r="BN322" s="13"/>
      <c r="BO322" t="s">
        <v>973</v>
      </c>
      <c r="BP322" t="s">
        <v>973</v>
      </c>
      <c r="BQ322" t="s">
        <v>973</v>
      </c>
      <c r="BR322" t="s">
        <v>973</v>
      </c>
    </row>
    <row r="323" spans="1:70" x14ac:dyDescent="0.25">
      <c r="A323" t="s">
        <v>816</v>
      </c>
      <c r="B323" t="s">
        <v>229</v>
      </c>
      <c r="C323" t="s">
        <v>32</v>
      </c>
      <c r="D323" s="6"/>
      <c r="E323" s="9" t="str">
        <f>HYPERLINK("http://plants.ensembl.org/Triticum_aestivum/Gene/Summary?g=TRIAE_CS42_6BL_TGACv1_501337_AA1616170","TRIAE_CS42_6BL_TGACv1_501337_AA1616170")</f>
        <v>TRIAE_CS42_6BL_TGACv1_501337_AA1616170</v>
      </c>
      <c r="H323" s="8" t="str">
        <f>HYPERLINK("http://plants.ensembl.org/Brachypodium_distachyon/Gene/Summary?g=Bradi3g50490","Bradi3g50490")</f>
        <v>Bradi3g50490</v>
      </c>
      <c r="I323" s="1" t="s">
        <v>1051</v>
      </c>
      <c r="J323" s="9" t="str">
        <f>HYPERLINK("http://plants.ensembl.org/Oryza_sativa/Gene/Summary?db=otherfeatures;g=LOC_Os02g43790","LOC_Os02g43790")</f>
        <v>LOC_Os02g43790</v>
      </c>
      <c r="L323" s="6"/>
      <c r="M323" s="1" t="s">
        <v>973</v>
      </c>
      <c r="N323" s="1" t="s">
        <v>973</v>
      </c>
      <c r="O323" s="1">
        <v>1</v>
      </c>
      <c r="P323" s="1" t="s">
        <v>973</v>
      </c>
      <c r="Q323" s="1" t="s">
        <v>973</v>
      </c>
      <c r="R323" s="1" t="s">
        <v>973</v>
      </c>
      <c r="S323" s="1"/>
      <c r="T323" s="6"/>
      <c r="U323" s="11">
        <v>8.5303086584283925</v>
      </c>
      <c r="V323" s="11">
        <v>7.4648471226588251</v>
      </c>
      <c r="W323" s="11">
        <v>7.1816425987152606</v>
      </c>
      <c r="X323" s="11">
        <v>6.789591894983996</v>
      </c>
      <c r="Y323" s="11">
        <v>7.2760080542083347</v>
      </c>
      <c r="Z323" s="11">
        <v>6.76850327071572</v>
      </c>
      <c r="AA323" s="11">
        <v>7.1404729503393414</v>
      </c>
      <c r="AB323" s="11">
        <v>6.2931865303313614</v>
      </c>
      <c r="AC323" s="11">
        <v>3.234680139081731</v>
      </c>
      <c r="AD323" s="11">
        <v>3.296065783049098</v>
      </c>
      <c r="AE323" s="11">
        <v>2.5346177829971279</v>
      </c>
      <c r="AF323" s="11">
        <v>1.9016489109163472</v>
      </c>
      <c r="AG323" s="11">
        <v>1.4717597416533841</v>
      </c>
      <c r="AH323" s="11">
        <v>1.2723218527699898</v>
      </c>
      <c r="AI323" s="11">
        <v>2.8857955996916154</v>
      </c>
      <c r="AJ323" s="11">
        <v>1.7263226246123382</v>
      </c>
      <c r="AK323" s="6"/>
      <c r="AL323" t="s">
        <v>1077</v>
      </c>
      <c r="AM323">
        <v>1345</v>
      </c>
      <c r="AN323" s="6"/>
      <c r="AO323" s="20">
        <v>5.4286000000000003</v>
      </c>
      <c r="AP323" s="20">
        <v>4.8083</v>
      </c>
      <c r="AQ323" s="20">
        <v>4.8779000000000003</v>
      </c>
      <c r="AR323" s="20">
        <v>5.1356999999999999</v>
      </c>
      <c r="AS323" s="20">
        <v>6.1139999999999999</v>
      </c>
      <c r="AT323" s="20">
        <v>5.9824000000000002</v>
      </c>
      <c r="AU323" s="20">
        <v>4.3917999999999999</v>
      </c>
      <c r="AV323" s="20">
        <v>4.9420999999999999</v>
      </c>
      <c r="AW323" s="6"/>
      <c r="AX323" s="18">
        <v>1.6609999999999999E-25</v>
      </c>
      <c r="AY323" s="18">
        <v>7.7869999999999997E-15</v>
      </c>
      <c r="AZ323" s="18">
        <v>1.1519999999999999E-18</v>
      </c>
      <c r="BA323" s="18">
        <v>5.8900000000000006E-17</v>
      </c>
      <c r="BB323" s="18">
        <v>9.5869999999999995E-25</v>
      </c>
      <c r="BC323" s="18">
        <v>2.3740000000000002E-16</v>
      </c>
      <c r="BD323" s="18">
        <v>4.9060000000000002E-17</v>
      </c>
      <c r="BE323" s="18">
        <v>5.8909999999999997E-15</v>
      </c>
      <c r="BF323" s="13"/>
      <c r="BG323" t="s">
        <v>1274</v>
      </c>
      <c r="BH323" t="s">
        <v>1371</v>
      </c>
      <c r="BI323" t="s">
        <v>1113</v>
      </c>
      <c r="BJ323" t="s">
        <v>1114</v>
      </c>
      <c r="BK323" t="s">
        <v>1115</v>
      </c>
      <c r="BL323" t="s">
        <v>1116</v>
      </c>
      <c r="BM323" t="s">
        <v>1117</v>
      </c>
      <c r="BN323" s="13"/>
      <c r="BO323" t="s">
        <v>973</v>
      </c>
      <c r="BP323" t="s">
        <v>973</v>
      </c>
      <c r="BQ323" t="s">
        <v>973</v>
      </c>
      <c r="BR323" t="s">
        <v>973</v>
      </c>
    </row>
    <row r="324" spans="1:70" x14ac:dyDescent="0.25">
      <c r="A324" t="s">
        <v>818</v>
      </c>
      <c r="B324" t="s">
        <v>461</v>
      </c>
      <c r="C324" t="s">
        <v>462</v>
      </c>
      <c r="D324" s="6"/>
      <c r="E324" s="9" t="str">
        <f>HYPERLINK("http://plants.ensembl.org/Triticum_aestivum/Gene/Summary?g=TRIAE_CS42_6BL_TGACv1_500010_AA1597160","TRIAE_CS42_6BL_TGACv1_500010_AA1597160")</f>
        <v>TRIAE_CS42_6BL_TGACv1_500010_AA1597160</v>
      </c>
      <c r="F324" s="9" t="str">
        <f>HYPERLINK("http://mar2016-plants.ensembl.org/Triticum_aestivum/Gene/Summary?db=core;g=Traes_6BL_019049831","Traes_6BL_019049831")</f>
        <v>Traes_6BL_019049831</v>
      </c>
      <c r="H324" s="8" t="str">
        <f>HYPERLINK("http://plants.ensembl.org/Brachypodium_distachyon/Gene/Summary?g=Bradi3g58980","Bradi3g58980")</f>
        <v>Bradi3g58980</v>
      </c>
      <c r="I324" s="8" t="str">
        <f>HYPERLINK("http://plants.ensembl.org/Arabidopsis_thaliana/Gene/Summary?g=AT1G78080","AT1G78080")</f>
        <v>AT1G78080</v>
      </c>
      <c r="J324" s="9" t="str">
        <f>HYPERLINK("http://plants.ensembl.org/Oryza_sativa/Gene/Summary?db=otherfeatures;g=LOC_Os02g51670","LOC_Os02g51670")</f>
        <v>LOC_Os02g51670</v>
      </c>
      <c r="L324" s="6"/>
      <c r="M324" s="1" t="s">
        <v>973</v>
      </c>
      <c r="N324" s="1" t="s">
        <v>973</v>
      </c>
      <c r="O324" s="1">
        <v>1</v>
      </c>
      <c r="P324" s="1" t="s">
        <v>973</v>
      </c>
      <c r="Q324" s="1" t="s">
        <v>973</v>
      </c>
      <c r="R324" s="1" t="s">
        <v>973</v>
      </c>
      <c r="S324" s="1"/>
      <c r="T324" s="6"/>
      <c r="U324" s="11">
        <v>7.7979640818500817</v>
      </c>
      <c r="V324" s="11">
        <v>8.2866041180777401</v>
      </c>
      <c r="W324" s="11">
        <v>8.3393673911452169</v>
      </c>
      <c r="X324" s="11">
        <v>8.4940487294151996</v>
      </c>
      <c r="Y324" s="11">
        <v>7.5669795023123489</v>
      </c>
      <c r="Z324" s="11">
        <v>7.520631775074035</v>
      </c>
      <c r="AA324" s="11">
        <v>8.5660292951679757</v>
      </c>
      <c r="AB324" s="11">
        <v>8.5711820247224626</v>
      </c>
      <c r="AC324" s="11">
        <v>8.7341844875258907</v>
      </c>
      <c r="AD324" s="11">
        <v>8.3814604679108395</v>
      </c>
      <c r="AE324" s="11">
        <v>8.7584831873827582</v>
      </c>
      <c r="AF324" s="11">
        <v>8.4635761404364143</v>
      </c>
      <c r="AG324" s="11">
        <v>8.2815267112490734</v>
      </c>
      <c r="AH324" s="11">
        <v>7.9035265998412294</v>
      </c>
      <c r="AI324" s="11">
        <v>9.0193991902327326</v>
      </c>
      <c r="AJ324" s="11">
        <v>8.6761337434430708</v>
      </c>
      <c r="AK324" s="6"/>
      <c r="AL324" t="s">
        <v>1093</v>
      </c>
      <c r="AM324">
        <v>0</v>
      </c>
      <c r="AN324" s="6"/>
      <c r="AO324" s="20">
        <v>-0.92569999999999997</v>
      </c>
      <c r="AP324" s="20">
        <v>-0.18440000000000001</v>
      </c>
      <c r="AQ324" s="20">
        <v>-0.41889999999999999</v>
      </c>
      <c r="AR324" s="20">
        <v>2.8899999999999999E-2</v>
      </c>
      <c r="AS324" s="20">
        <v>-0.71430000000000005</v>
      </c>
      <c r="AT324" s="20">
        <v>-0.38069999999999998</v>
      </c>
      <c r="AU324" s="20">
        <v>-0.45419999999999999</v>
      </c>
      <c r="AV324" s="20">
        <v>-0.1055</v>
      </c>
      <c r="AW324" s="6"/>
      <c r="AX324" s="18">
        <v>7.4049999999999995E-4</v>
      </c>
      <c r="AY324" s="18">
        <v>0.52170000000000005</v>
      </c>
      <c r="AZ324" s="18">
        <v>0.11260000000000001</v>
      </c>
      <c r="BA324" s="18">
        <v>0.91320000000000001</v>
      </c>
      <c r="BB324" s="18">
        <v>7.476E-3</v>
      </c>
      <c r="BC324" s="18">
        <v>0.15690000000000001</v>
      </c>
      <c r="BD324" s="18">
        <v>8.3860000000000004E-2</v>
      </c>
      <c r="BE324" s="18">
        <v>0.68979999999999997</v>
      </c>
      <c r="BF324" s="13"/>
      <c r="BG324" t="s">
        <v>1111</v>
      </c>
      <c r="BH324" t="s">
        <v>1112</v>
      </c>
      <c r="BI324" t="s">
        <v>1113</v>
      </c>
      <c r="BJ324" t="s">
        <v>1114</v>
      </c>
      <c r="BK324" t="s">
        <v>1115</v>
      </c>
      <c r="BL324" t="s">
        <v>1220</v>
      </c>
      <c r="BM324" t="s">
        <v>1117</v>
      </c>
      <c r="BN324" s="13"/>
      <c r="BO324" t="s">
        <v>973</v>
      </c>
      <c r="BP324" t="s">
        <v>973</v>
      </c>
      <c r="BQ324" t="s">
        <v>973</v>
      </c>
      <c r="BR324" t="s">
        <v>973</v>
      </c>
    </row>
    <row r="325" spans="1:70" x14ac:dyDescent="0.25">
      <c r="A325" t="s">
        <v>820</v>
      </c>
      <c r="B325" t="s">
        <v>58</v>
      </c>
      <c r="C325" t="s">
        <v>32</v>
      </c>
      <c r="D325" s="6"/>
      <c r="E325" s="9" t="str">
        <f>HYPERLINK("http://plants.ensembl.org/Triticum_aestivum/Gene/Summary?g=TRIAE_CS42_6BL_TGACv1_500423_AA1604360","TRIAE_CS42_6BL_TGACv1_500423_AA1604360")</f>
        <v>TRIAE_CS42_6BL_TGACv1_500423_AA1604360</v>
      </c>
      <c r="H325" s="8" t="str">
        <f>HYPERLINK("http://plants.ensembl.org/Brachypodium_distachyon/Gene/Summary?g=Bradi3g58015","Bradi3g58015")</f>
        <v>Bradi3g58015</v>
      </c>
      <c r="I325" s="1" t="s">
        <v>1051</v>
      </c>
      <c r="J325" s="9" t="str">
        <f>HYPERLINK("http://plants.ensembl.org/Oryza_sativa/Gene/Summary?db=otherfeatures;g=LOC_Os02g52670","LOC_Os02g52670")</f>
        <v>LOC_Os02g52670</v>
      </c>
      <c r="L325" s="6"/>
      <c r="M325" s="1" t="s">
        <v>973</v>
      </c>
      <c r="N325" s="1" t="s">
        <v>973</v>
      </c>
      <c r="O325" s="1">
        <v>1</v>
      </c>
      <c r="P325" s="1" t="s">
        <v>973</v>
      </c>
      <c r="Q325" s="1" t="s">
        <v>973</v>
      </c>
      <c r="R325" s="1" t="s">
        <v>973</v>
      </c>
      <c r="S325" s="1"/>
      <c r="T325" s="6"/>
      <c r="U325" s="11">
        <v>4.6171926750547572</v>
      </c>
      <c r="V325" s="11">
        <v>7.3865066174417455</v>
      </c>
      <c r="W325" s="11">
        <v>3.5550553499632884</v>
      </c>
      <c r="X325" s="11">
        <v>4.3890550782134534</v>
      </c>
      <c r="Y325" s="11">
        <v>4.2817872568158259</v>
      </c>
      <c r="Z325" s="11">
        <v>4.1509847324240559</v>
      </c>
      <c r="AA325" s="11">
        <v>5.0597662556285243</v>
      </c>
      <c r="AB325" s="11">
        <v>4.4385479180979193</v>
      </c>
      <c r="AC325" s="11">
        <v>2.9887876786473351</v>
      </c>
      <c r="AD325" s="11">
        <v>0.41305242854852736</v>
      </c>
      <c r="AE325" s="11">
        <v>2.4129440733687186</v>
      </c>
      <c r="AF325" s="11">
        <v>2.4000733507044201</v>
      </c>
      <c r="AG325" s="11">
        <v>1.9105408014011485</v>
      </c>
      <c r="AH325" s="11">
        <v>1.3819108960388249</v>
      </c>
      <c r="AI325" s="11">
        <v>3.7238242870317788</v>
      </c>
      <c r="AJ325" s="11">
        <v>3.7062432005138857</v>
      </c>
      <c r="AK325" s="6"/>
      <c r="AL325" t="s">
        <v>1077</v>
      </c>
      <c r="AM325">
        <v>0</v>
      </c>
      <c r="AN325" s="6"/>
      <c r="AO325" s="20">
        <v>1.8512999999999999</v>
      </c>
      <c r="AP325" s="20">
        <v>7.4345999999999997</v>
      </c>
      <c r="AQ325" s="20">
        <v>1.2796000000000001</v>
      </c>
      <c r="AR325" s="20">
        <v>2.0933000000000002</v>
      </c>
      <c r="AS325" s="20">
        <v>2.6071</v>
      </c>
      <c r="AT325" s="20">
        <v>3.1467000000000001</v>
      </c>
      <c r="AU325" s="20">
        <v>1.3779999999999999</v>
      </c>
      <c r="AV325" s="20">
        <v>0.75960000000000005</v>
      </c>
      <c r="AW325" s="6"/>
      <c r="AX325" s="18">
        <v>9.162E-3</v>
      </c>
      <c r="AY325" s="18">
        <v>7.3620000000000003E-13</v>
      </c>
      <c r="AZ325" s="18">
        <v>7.4609999999999996E-2</v>
      </c>
      <c r="BA325" s="18">
        <v>3.16E-3</v>
      </c>
      <c r="BB325" s="18">
        <v>2.3029999999999999E-4</v>
      </c>
      <c r="BC325" s="18">
        <v>1.294E-4</v>
      </c>
      <c r="BD325" s="18">
        <v>3.1359999999999999E-2</v>
      </c>
      <c r="BE325" s="18">
        <v>0.24490000000000001</v>
      </c>
      <c r="BF325" s="13"/>
      <c r="BG325" t="s">
        <v>1125</v>
      </c>
      <c r="BH325" t="s">
        <v>1126</v>
      </c>
      <c r="BI325" t="s">
        <v>1113</v>
      </c>
      <c r="BJ325" t="s">
        <v>1127</v>
      </c>
      <c r="BK325" t="s">
        <v>1115</v>
      </c>
      <c r="BL325" t="s">
        <v>1116</v>
      </c>
      <c r="BM325" t="s">
        <v>1117</v>
      </c>
      <c r="BN325" s="13"/>
      <c r="BO325" t="s">
        <v>973</v>
      </c>
      <c r="BP325">
        <v>1</v>
      </c>
      <c r="BQ325" t="s">
        <v>973</v>
      </c>
      <c r="BR325" t="s">
        <v>973</v>
      </c>
    </row>
    <row r="326" spans="1:70" x14ac:dyDescent="0.25">
      <c r="A326" t="s">
        <v>821</v>
      </c>
      <c r="B326" t="s">
        <v>553</v>
      </c>
      <c r="C326" t="s">
        <v>32</v>
      </c>
      <c r="D326" s="6"/>
      <c r="E326" s="9" t="str">
        <f>HYPERLINK("http://plants.ensembl.org/Triticum_aestivum/Gene/Summary?g=TRIAE_CS42_6BL_TGACv1_499444_AA1582630","TRIAE_CS42_6BL_TGACv1_499444_AA1582630")</f>
        <v>TRIAE_CS42_6BL_TGACv1_499444_AA1582630</v>
      </c>
      <c r="F326" s="9" t="str">
        <f>HYPERLINK("http://mar2016-plants.ensembl.org/Triticum_aestivum/Gene/Summary?db=core;g=Traes_6BL_6AEADC565","Traes_6BL_6AEADC565")</f>
        <v>Traes_6BL_6AEADC565</v>
      </c>
      <c r="H326" s="8" t="str">
        <f>HYPERLINK("http://plants.ensembl.org/Brachypodium_distachyon/Gene/Summary?g=Bradi3g60120","Bradi3g60120")</f>
        <v>Bradi3g60120</v>
      </c>
      <c r="I326" s="1" t="s">
        <v>1051</v>
      </c>
      <c r="J326" s="9" t="str">
        <f>HYPERLINK("http://plants.ensembl.org/Oryza_sativa/Gene/Summary?db=otherfeatures;g=LOC_Os02g54160","LOC_Os02g54160")</f>
        <v>LOC_Os02g54160</v>
      </c>
      <c r="L326" s="6"/>
      <c r="M326" s="1" t="s">
        <v>973</v>
      </c>
      <c r="N326" s="1" t="s">
        <v>973</v>
      </c>
      <c r="O326" s="1">
        <v>1</v>
      </c>
      <c r="P326" s="1" t="s">
        <v>973</v>
      </c>
      <c r="Q326" s="1" t="s">
        <v>973</v>
      </c>
      <c r="R326" s="1" t="s">
        <v>973</v>
      </c>
      <c r="S326" s="1"/>
      <c r="T326" s="6"/>
      <c r="U326" s="11">
        <v>10.999092018704363</v>
      </c>
      <c r="V326" s="11">
        <v>11.371642422087811</v>
      </c>
      <c r="W326" s="11">
        <v>10.246029524914261</v>
      </c>
      <c r="X326" s="11">
        <v>10.69634535298027</v>
      </c>
      <c r="Y326" s="11">
        <v>10.702668335400142</v>
      </c>
      <c r="Z326" s="11">
        <v>10.879604716306037</v>
      </c>
      <c r="AA326" s="11">
        <v>10.290696093957221</v>
      </c>
      <c r="AB326" s="11">
        <v>10.451635304855529</v>
      </c>
      <c r="AC326" s="11">
        <v>9.0058291503824854</v>
      </c>
      <c r="AD326" s="11">
        <v>10.269192538116698</v>
      </c>
      <c r="AE326" s="11">
        <v>9.6010559481199209</v>
      </c>
      <c r="AF326" s="11">
        <v>10.317500913948731</v>
      </c>
      <c r="AG326" s="11">
        <v>9.0381471512953517</v>
      </c>
      <c r="AH326" s="11">
        <v>10.50753725735639</v>
      </c>
      <c r="AI326" s="11">
        <v>9.0391819965995346</v>
      </c>
      <c r="AJ326" s="11">
        <v>10.301934081351229</v>
      </c>
      <c r="AK326" s="6"/>
      <c r="AL326" t="s">
        <v>1077</v>
      </c>
      <c r="AM326">
        <v>0</v>
      </c>
      <c r="AN326" s="6"/>
      <c r="AO326" s="20">
        <v>1.9981</v>
      </c>
      <c r="AP326" s="20">
        <v>1.1102000000000001</v>
      </c>
      <c r="AQ326" s="20">
        <v>0.64490000000000003</v>
      </c>
      <c r="AR326" s="20">
        <v>0.3775</v>
      </c>
      <c r="AS326" s="20">
        <v>1.6651</v>
      </c>
      <c r="AT326" s="20">
        <v>0.37080000000000002</v>
      </c>
      <c r="AU326" s="20">
        <v>1.2535000000000001</v>
      </c>
      <c r="AV326" s="20">
        <v>0.14960000000000001</v>
      </c>
      <c r="AW326" s="6"/>
      <c r="AX326" s="18">
        <v>1.3920000000000001E-37</v>
      </c>
      <c r="AY326" s="18">
        <v>2.6740000000000001E-12</v>
      </c>
      <c r="AZ326" s="18">
        <v>2.4810000000000001E-5</v>
      </c>
      <c r="BA326" s="18">
        <v>1.299E-2</v>
      </c>
      <c r="BB326" s="18">
        <v>1.194E-27</v>
      </c>
      <c r="BC326" s="18">
        <v>1.4409999999999999E-2</v>
      </c>
      <c r="BD326" s="18">
        <v>3.5130000000000001E-16</v>
      </c>
      <c r="BE326" s="18">
        <v>0.32550000000000001</v>
      </c>
      <c r="BF326" s="13"/>
      <c r="BG326" t="s">
        <v>1261</v>
      </c>
      <c r="BH326" t="s">
        <v>1112</v>
      </c>
      <c r="BI326" t="s">
        <v>1113</v>
      </c>
      <c r="BJ326" t="s">
        <v>1114</v>
      </c>
      <c r="BK326" t="s">
        <v>1252</v>
      </c>
      <c r="BL326" t="s">
        <v>1116</v>
      </c>
      <c r="BM326" t="s">
        <v>1117</v>
      </c>
      <c r="BN326" s="13"/>
      <c r="BO326" t="s">
        <v>973</v>
      </c>
      <c r="BP326" t="s">
        <v>973</v>
      </c>
      <c r="BQ326" t="s">
        <v>973</v>
      </c>
      <c r="BR326" t="s">
        <v>973</v>
      </c>
    </row>
    <row r="327" spans="1:70" x14ac:dyDescent="0.25">
      <c r="A327" t="s">
        <v>823</v>
      </c>
      <c r="B327" t="s">
        <v>553</v>
      </c>
      <c r="C327" t="s">
        <v>32</v>
      </c>
      <c r="D327" s="6"/>
      <c r="E327" s="9" t="str">
        <f>HYPERLINK("http://plants.ensembl.org/Triticum_aestivum/Gene/Summary?g=TRIAE_CS42_U_TGACv1_642843_AA2124020","TRIAE_CS42_U_TGACv1_642843_AA2124020")</f>
        <v>TRIAE_CS42_U_TGACv1_642843_AA2124020</v>
      </c>
      <c r="H327" s="1" t="s">
        <v>1051</v>
      </c>
      <c r="I327" s="1" t="s">
        <v>1051</v>
      </c>
      <c r="J327" s="1" t="s">
        <v>1051</v>
      </c>
      <c r="L327" s="6"/>
      <c r="M327" s="1" t="s">
        <v>973</v>
      </c>
      <c r="N327" s="1" t="s">
        <v>973</v>
      </c>
      <c r="O327" s="1">
        <v>1</v>
      </c>
      <c r="P327" s="1" t="s">
        <v>973</v>
      </c>
      <c r="Q327" s="1" t="s">
        <v>973</v>
      </c>
      <c r="R327" s="1" t="s">
        <v>973</v>
      </c>
      <c r="S327" s="1"/>
      <c r="T327" s="6"/>
      <c r="U327" s="11">
        <v>5.4581905858657214</v>
      </c>
      <c r="V327" s="11">
        <v>6.6086008054870602</v>
      </c>
      <c r="W327" s="11">
        <v>5.3527726468885222</v>
      </c>
      <c r="X327" s="11">
        <v>6.7371103072543512</v>
      </c>
      <c r="Y327" s="11">
        <v>5.460207405076333</v>
      </c>
      <c r="Z327" s="11">
        <v>6.8512397405529093</v>
      </c>
      <c r="AA327" s="11">
        <v>4.4235938572358888</v>
      </c>
      <c r="AB327" s="11">
        <v>6.6566207847650505</v>
      </c>
      <c r="AC327" s="11">
        <v>4.4554697016676599</v>
      </c>
      <c r="AD327" s="11">
        <v>6.8900104782049656</v>
      </c>
      <c r="AE327" s="11">
        <v>5.4312630210117758</v>
      </c>
      <c r="AF327" s="11">
        <v>7.0404921134261658</v>
      </c>
      <c r="AG327" s="11">
        <v>4.855546259488615</v>
      </c>
      <c r="AH327" s="11">
        <v>7.1956835580468299</v>
      </c>
      <c r="AI327" s="11">
        <v>4.588390835997334</v>
      </c>
      <c r="AJ327" s="11">
        <v>6.8250215157496088</v>
      </c>
      <c r="AK327" s="6"/>
      <c r="AL327" t="s">
        <v>1080</v>
      </c>
      <c r="AM327">
        <v>0</v>
      </c>
      <c r="AN327" s="6"/>
      <c r="AO327" s="20">
        <v>1.0834999999999999</v>
      </c>
      <c r="AP327" s="20">
        <v>-0.25459999999999999</v>
      </c>
      <c r="AQ327" s="20">
        <v>-7.8100000000000003E-2</v>
      </c>
      <c r="AR327" s="20">
        <v>-0.3034</v>
      </c>
      <c r="AS327" s="20">
        <v>0.62970000000000004</v>
      </c>
      <c r="AT327" s="20">
        <v>-0.34670000000000001</v>
      </c>
      <c r="AU327" s="20">
        <v>-0.16420000000000001</v>
      </c>
      <c r="AV327" s="20">
        <v>-0.16969999999999999</v>
      </c>
      <c r="AW327" s="6"/>
      <c r="AX327" s="18">
        <v>9.5149999999999992E-3</v>
      </c>
      <c r="AY327" s="18">
        <v>0.52180000000000004</v>
      </c>
      <c r="AZ327" s="18">
        <v>0.83350000000000002</v>
      </c>
      <c r="BA327" s="18">
        <v>0.3866</v>
      </c>
      <c r="BB327" s="18">
        <v>9.239E-2</v>
      </c>
      <c r="BC327" s="18">
        <v>0.31979999999999997</v>
      </c>
      <c r="BD327" s="18">
        <v>0.67789999999999995</v>
      </c>
      <c r="BE327" s="18">
        <v>0.62949999999999995</v>
      </c>
      <c r="BF327" s="13"/>
      <c r="BG327" t="s">
        <v>1111</v>
      </c>
      <c r="BH327" t="s">
        <v>1112</v>
      </c>
      <c r="BI327" t="s">
        <v>1113</v>
      </c>
      <c r="BJ327" t="s">
        <v>1365</v>
      </c>
      <c r="BK327" t="s">
        <v>1139</v>
      </c>
      <c r="BL327" t="s">
        <v>1116</v>
      </c>
      <c r="BM327" t="s">
        <v>1117</v>
      </c>
      <c r="BN327" s="13"/>
      <c r="BO327" t="s">
        <v>973</v>
      </c>
      <c r="BP327" t="s">
        <v>973</v>
      </c>
      <c r="BQ327" t="s">
        <v>973</v>
      </c>
      <c r="BR327" t="s">
        <v>973</v>
      </c>
    </row>
    <row r="328" spans="1:70" x14ac:dyDescent="0.25">
      <c r="A328" t="s">
        <v>831</v>
      </c>
      <c r="B328" t="s">
        <v>461</v>
      </c>
      <c r="C328" t="s">
        <v>462</v>
      </c>
      <c r="D328" s="6"/>
      <c r="E328" s="9" t="str">
        <f>HYPERLINK("http://plants.ensembl.org/Triticum_aestivum/Gene/Summary?g=TRIAE_CS42_6DL_TGACv1_527023_AA1697360","TRIAE_CS42_6DL_TGACv1_527023_AA1697360")</f>
        <v>TRIAE_CS42_6DL_TGACv1_527023_AA1697360</v>
      </c>
      <c r="F328" s="9" t="str">
        <f>HYPERLINK("http://mar2016-plants.ensembl.org/Triticum_aestivum/Gene/Summary?db=core;g=Traes_6DL_FECA3FE13","Traes_6DL_FECA3FE13")</f>
        <v>Traes_6DL_FECA3FE13</v>
      </c>
      <c r="H328" s="8" t="str">
        <f>HYPERLINK("http://plants.ensembl.org/Brachypodium_distachyon/Gene/Summary?g=Bradi3g49810","Bradi3g49810")</f>
        <v>Bradi3g49810</v>
      </c>
      <c r="I328" s="1" t="s">
        <v>1051</v>
      </c>
      <c r="J328" s="9" t="str">
        <f>HYPERLINK("http://plants.ensembl.org/Oryza_sativa/Gene/Summary?db=otherfeatures;g=LOC_Os02g42585","LOC_Os02g42585")</f>
        <v>LOC_Os02g42585</v>
      </c>
      <c r="L328" s="6"/>
      <c r="M328" s="1" t="s">
        <v>973</v>
      </c>
      <c r="N328" s="1" t="s">
        <v>973</v>
      </c>
      <c r="O328" s="1">
        <v>1</v>
      </c>
      <c r="P328" s="1" t="s">
        <v>973</v>
      </c>
      <c r="Q328" s="1" t="s">
        <v>973</v>
      </c>
      <c r="R328" s="1" t="s">
        <v>973</v>
      </c>
      <c r="S328" s="1"/>
      <c r="T328" s="6"/>
      <c r="U328" s="11">
        <v>4.8980051417131305</v>
      </c>
      <c r="V328" s="11">
        <v>8.041544717017814</v>
      </c>
      <c r="W328" s="11">
        <v>2.4355130315955438</v>
      </c>
      <c r="X328" s="11">
        <v>5.3582462078672899</v>
      </c>
      <c r="Y328" s="11">
        <v>3.6550770033824844</v>
      </c>
      <c r="Z328" s="11">
        <v>5.4279893656910927</v>
      </c>
      <c r="AA328" s="11">
        <v>5.9069843677386142</v>
      </c>
      <c r="AB328" s="11">
        <v>5.149446357359297</v>
      </c>
      <c r="AC328" s="11">
        <v>1.6512545633810638</v>
      </c>
      <c r="AD328" s="11">
        <v>1.9182971764481784</v>
      </c>
      <c r="AE328" s="11">
        <v>2.4101058830877138</v>
      </c>
      <c r="AF328" s="11">
        <v>3.6267155780861073</v>
      </c>
      <c r="AG328" s="11">
        <v>1.3399734875456468</v>
      </c>
      <c r="AH328" s="11">
        <v>1.6140030448649043</v>
      </c>
      <c r="AI328" s="11">
        <v>4.941049954570679</v>
      </c>
      <c r="AJ328" s="11">
        <v>4.9941240961251872</v>
      </c>
      <c r="AK328" s="6"/>
      <c r="AL328" t="s">
        <v>1077</v>
      </c>
      <c r="AM328">
        <v>0</v>
      </c>
      <c r="AN328" s="6"/>
      <c r="AO328" s="20">
        <v>3.6179999999999999</v>
      </c>
      <c r="AP328" s="20">
        <v>7.8535000000000004</v>
      </c>
      <c r="AQ328" s="20">
        <v>3.4599999999999999E-2</v>
      </c>
      <c r="AR328" s="20">
        <v>1.7069000000000001</v>
      </c>
      <c r="AS328" s="20">
        <v>2.7725</v>
      </c>
      <c r="AT328" s="20">
        <v>4.1546000000000003</v>
      </c>
      <c r="AU328" s="20">
        <v>0.96120000000000005</v>
      </c>
      <c r="AV328" s="20">
        <v>0.1555</v>
      </c>
      <c r="AW328" s="6"/>
      <c r="AX328" s="18">
        <v>6.5770000000000002E-5</v>
      </c>
      <c r="AY328" s="18">
        <v>4.255E-13</v>
      </c>
      <c r="AZ328" s="18">
        <v>0.96799999999999997</v>
      </c>
      <c r="BA328" s="18">
        <v>2.7220000000000001E-2</v>
      </c>
      <c r="BB328" s="18">
        <v>1.604E-3</v>
      </c>
      <c r="BC328" s="18">
        <v>2.6280000000000001E-6</v>
      </c>
      <c r="BD328" s="18">
        <v>0.1993</v>
      </c>
      <c r="BE328" s="18">
        <v>0.83689999999999998</v>
      </c>
      <c r="BF328" s="13"/>
      <c r="BG328" t="s">
        <v>1125</v>
      </c>
      <c r="BH328" t="s">
        <v>1126</v>
      </c>
      <c r="BI328" t="s">
        <v>1113</v>
      </c>
      <c r="BJ328" t="s">
        <v>1127</v>
      </c>
      <c r="BK328" t="s">
        <v>1115</v>
      </c>
      <c r="BL328" t="s">
        <v>1116</v>
      </c>
      <c r="BM328" t="s">
        <v>1117</v>
      </c>
      <c r="BN328" s="13"/>
      <c r="BO328" t="s">
        <v>973</v>
      </c>
      <c r="BP328">
        <v>1</v>
      </c>
      <c r="BQ328" t="s">
        <v>973</v>
      </c>
      <c r="BR328" t="s">
        <v>973</v>
      </c>
    </row>
    <row r="329" spans="1:70" x14ac:dyDescent="0.25">
      <c r="A329" t="s">
        <v>832</v>
      </c>
      <c r="B329" t="s">
        <v>229</v>
      </c>
      <c r="C329" t="s">
        <v>32</v>
      </c>
      <c r="D329" s="6"/>
      <c r="E329" s="9" t="str">
        <f>HYPERLINK("http://plants.ensembl.org/Triticum_aestivum/Gene/Summary?g=TRIAE_CS42_6DL_TGACv1_527768_AA1708370","TRIAE_CS42_6DL_TGACv1_527768_AA1708370")</f>
        <v>TRIAE_CS42_6DL_TGACv1_527768_AA1708370</v>
      </c>
      <c r="H329" s="8" t="str">
        <f>HYPERLINK("http://plants.ensembl.org/Brachypodium_distachyon/Gene/Summary?g=Bradi3g50490","Bradi3g50490")</f>
        <v>Bradi3g50490</v>
      </c>
      <c r="I329" s="1" t="s">
        <v>1051</v>
      </c>
      <c r="J329" s="9" t="str">
        <f>HYPERLINK("http://plants.ensembl.org/Oryza_sativa/Gene/Summary?db=otherfeatures;g=LOC_Os02g43790","LOC_Os02g43790")</f>
        <v>LOC_Os02g43790</v>
      </c>
      <c r="L329" s="6"/>
      <c r="M329" s="1" t="s">
        <v>973</v>
      </c>
      <c r="N329" s="1" t="s">
        <v>973</v>
      </c>
      <c r="O329" s="1">
        <v>1</v>
      </c>
      <c r="P329" s="1" t="s">
        <v>973</v>
      </c>
      <c r="Q329" s="1" t="s">
        <v>973</v>
      </c>
      <c r="R329" s="1" t="s">
        <v>973</v>
      </c>
      <c r="S329" s="1"/>
      <c r="T329" s="6"/>
      <c r="U329" s="11">
        <v>8.5088212042357707</v>
      </c>
      <c r="V329" s="11">
        <v>8.5508783531715729</v>
      </c>
      <c r="W329" s="11">
        <v>7.281280339598311</v>
      </c>
      <c r="X329" s="11">
        <v>7.0909740733194484</v>
      </c>
      <c r="Y329" s="11">
        <v>7.5975641971218479</v>
      </c>
      <c r="Z329" s="11">
        <v>7.1969735199266047</v>
      </c>
      <c r="AA329" s="11">
        <v>7.1796795671677378</v>
      </c>
      <c r="AB329" s="11">
        <v>6.4230206379916561</v>
      </c>
      <c r="AC329" s="11">
        <v>3.7469039137563644</v>
      </c>
      <c r="AD329" s="11">
        <v>0.73378816862518204</v>
      </c>
      <c r="AE329" s="11">
        <v>3.0869422455930762</v>
      </c>
      <c r="AF329" s="11">
        <v>2.1568172604173066</v>
      </c>
      <c r="AG329" s="11">
        <v>1.6513617296325387</v>
      </c>
      <c r="AH329" s="11">
        <v>1.3160105436522742</v>
      </c>
      <c r="AI329" s="11">
        <v>3.257674467350772</v>
      </c>
      <c r="AJ329" s="11">
        <v>1.6071369549956993</v>
      </c>
      <c r="AK329" s="6"/>
      <c r="AL329" t="s">
        <v>1077</v>
      </c>
      <c r="AM329">
        <v>1236</v>
      </c>
      <c r="AN329" s="6"/>
      <c r="AO329" s="20">
        <v>4.8743999999999996</v>
      </c>
      <c r="AP329" s="20">
        <v>8.0428999999999995</v>
      </c>
      <c r="AQ329" s="20">
        <v>4.3281999999999998</v>
      </c>
      <c r="AR329" s="20">
        <v>5.1736000000000004</v>
      </c>
      <c r="AS329" s="20">
        <v>6.2744</v>
      </c>
      <c r="AT329" s="20">
        <v>6.3851000000000004</v>
      </c>
      <c r="AU329" s="20">
        <v>4.0209999999999999</v>
      </c>
      <c r="AV329" s="20">
        <v>5.2196999999999996</v>
      </c>
      <c r="AW329" s="6"/>
      <c r="AX329" s="18">
        <v>9.5669999999999999E-21</v>
      </c>
      <c r="AY329" s="18">
        <v>6.794E-20</v>
      </c>
      <c r="AZ329" s="18">
        <v>9.8530000000000006E-16</v>
      </c>
      <c r="BA329" s="18">
        <v>2.122E-17</v>
      </c>
      <c r="BB329" s="18">
        <v>1.778E-25</v>
      </c>
      <c r="BC329" s="18">
        <v>6.5289999999999997E-18</v>
      </c>
      <c r="BD329" s="18">
        <v>2.675E-14</v>
      </c>
      <c r="BE329" s="18">
        <v>4.6980000000000002E-15</v>
      </c>
      <c r="BF329" s="13"/>
      <c r="BG329" t="s">
        <v>1274</v>
      </c>
      <c r="BH329" t="s">
        <v>1144</v>
      </c>
      <c r="BI329" t="s">
        <v>1113</v>
      </c>
      <c r="BJ329" t="s">
        <v>1114</v>
      </c>
      <c r="BK329" t="s">
        <v>1115</v>
      </c>
      <c r="BL329" t="s">
        <v>1116</v>
      </c>
      <c r="BM329" t="s">
        <v>1117</v>
      </c>
      <c r="BN329" s="13"/>
      <c r="BO329" t="s">
        <v>973</v>
      </c>
      <c r="BP329" t="s">
        <v>973</v>
      </c>
      <c r="BQ329" t="s">
        <v>973</v>
      </c>
      <c r="BR329" t="s">
        <v>973</v>
      </c>
    </row>
    <row r="330" spans="1:70" x14ac:dyDescent="0.25">
      <c r="A330" t="s">
        <v>834</v>
      </c>
      <c r="B330" t="s">
        <v>461</v>
      </c>
      <c r="C330" t="s">
        <v>462</v>
      </c>
      <c r="D330" s="6"/>
      <c r="E330" s="9" t="str">
        <f>HYPERLINK("http://plants.ensembl.org/Triticum_aestivum/Gene/Summary?g=TRIAE_CS42_6DL_TGACv1_526331_AA1679610","TRIAE_CS42_6DL_TGACv1_526331_AA1679610")</f>
        <v>TRIAE_CS42_6DL_TGACv1_526331_AA1679610</v>
      </c>
      <c r="F330" s="9" t="str">
        <f>HYPERLINK("http://mar2016-plants.ensembl.org/Triticum_aestivum/Gene/Summary?db=core;g=Traes_6DL_3E3F2C42E","Traes_6DL_3E3F2C42E")</f>
        <v>Traes_6DL_3E3F2C42E</v>
      </c>
      <c r="H330" s="8" t="str">
        <f>HYPERLINK("http://plants.ensembl.org/Brachypodium_distachyon/Gene/Summary?g=Bradi3g58980","Bradi3g58980")</f>
        <v>Bradi3g58980</v>
      </c>
      <c r="I330" s="8" t="str">
        <f>HYPERLINK("http://plants.ensembl.org/Arabidopsis_thaliana/Gene/Summary?g=AT1G78080","AT1G78080")</f>
        <v>AT1G78080</v>
      </c>
      <c r="J330" s="9" t="str">
        <f>HYPERLINK("http://plants.ensembl.org/Oryza_sativa/Gene/Summary?db=otherfeatures;g=LOC_Os02g51670","LOC_Os02g51670")</f>
        <v>LOC_Os02g51670</v>
      </c>
      <c r="L330" s="6"/>
      <c r="M330" s="1" t="s">
        <v>973</v>
      </c>
      <c r="N330" s="1" t="s">
        <v>973</v>
      </c>
      <c r="O330" s="1">
        <v>1</v>
      </c>
      <c r="P330" s="1" t="s">
        <v>973</v>
      </c>
      <c r="Q330" s="1" t="s">
        <v>973</v>
      </c>
      <c r="R330" s="1" t="s">
        <v>973</v>
      </c>
      <c r="S330" s="1"/>
      <c r="T330" s="6"/>
      <c r="U330" s="11">
        <v>9.1899431316818241</v>
      </c>
      <c r="V330" s="11">
        <v>10.083410980528498</v>
      </c>
      <c r="W330" s="11">
        <v>9.2101929633917159</v>
      </c>
      <c r="X330" s="11">
        <v>9.7366595525644737</v>
      </c>
      <c r="Y330" s="11">
        <v>8.3926226750587354</v>
      </c>
      <c r="Z330" s="11">
        <v>8.8887427416214333</v>
      </c>
      <c r="AA330" s="11">
        <v>9.1012477074013383</v>
      </c>
      <c r="AB330" s="11">
        <v>9.744150609525903</v>
      </c>
      <c r="AC330" s="11">
        <v>8.9545644996747509</v>
      </c>
      <c r="AD330" s="11">
        <v>9.3577208223157147</v>
      </c>
      <c r="AE330" s="11">
        <v>9.1260293366442209</v>
      </c>
      <c r="AF330" s="11">
        <v>8.8598897481866121</v>
      </c>
      <c r="AG330" s="11">
        <v>8.6131003908062027</v>
      </c>
      <c r="AH330" s="11">
        <v>8.4332955516792811</v>
      </c>
      <c r="AI330" s="11">
        <v>9.358313323832542</v>
      </c>
      <c r="AJ330" s="11">
        <v>9.3828264579684468</v>
      </c>
      <c r="AK330" s="6"/>
      <c r="AL330" t="s">
        <v>1096</v>
      </c>
      <c r="AM330">
        <v>0</v>
      </c>
      <c r="AN330" s="6"/>
      <c r="AO330" s="20">
        <v>0.24229999999999999</v>
      </c>
      <c r="AP330" s="20">
        <v>0.71450000000000002</v>
      </c>
      <c r="AQ330" s="20">
        <v>8.3500000000000005E-2</v>
      </c>
      <c r="AR330" s="20">
        <v>0.87350000000000005</v>
      </c>
      <c r="AS330" s="20">
        <v>-0.22040000000000001</v>
      </c>
      <c r="AT330" s="20">
        <v>0.45529999999999998</v>
      </c>
      <c r="AU330" s="20">
        <v>-0.25700000000000001</v>
      </c>
      <c r="AV330" s="20">
        <v>0.36070000000000002</v>
      </c>
      <c r="AW330" s="6"/>
      <c r="AX330" s="18">
        <v>0.31119999999999998</v>
      </c>
      <c r="AY330" s="18">
        <v>3.382E-3</v>
      </c>
      <c r="AZ330" s="18">
        <v>0.7218</v>
      </c>
      <c r="BA330" s="18">
        <v>2.0149999999999999E-4</v>
      </c>
      <c r="BB330" s="18">
        <v>0.35170000000000001</v>
      </c>
      <c r="BC330" s="18">
        <v>5.4629999999999998E-2</v>
      </c>
      <c r="BD330" s="18">
        <v>0.27239999999999998</v>
      </c>
      <c r="BE330" s="18">
        <v>0.1232</v>
      </c>
      <c r="BF330" s="13"/>
      <c r="BG330" t="s">
        <v>1111</v>
      </c>
      <c r="BH330" t="s">
        <v>1253</v>
      </c>
      <c r="BI330" t="s">
        <v>1113</v>
      </c>
      <c r="BJ330" t="s">
        <v>1114</v>
      </c>
      <c r="BK330" t="s">
        <v>1115</v>
      </c>
      <c r="BL330" t="s">
        <v>1116</v>
      </c>
      <c r="BM330" t="s">
        <v>1117</v>
      </c>
      <c r="BN330" s="13"/>
      <c r="BO330" t="s">
        <v>973</v>
      </c>
      <c r="BP330" t="s">
        <v>973</v>
      </c>
      <c r="BQ330" t="s">
        <v>973</v>
      </c>
      <c r="BR330" t="s">
        <v>973</v>
      </c>
    </row>
    <row r="331" spans="1:70" x14ac:dyDescent="0.25">
      <c r="A331" t="s">
        <v>837</v>
      </c>
      <c r="B331" t="s">
        <v>61</v>
      </c>
      <c r="C331" t="s">
        <v>32</v>
      </c>
      <c r="D331" s="6"/>
      <c r="E331" s="9" t="str">
        <f>HYPERLINK("http://plants.ensembl.org/Triticum_aestivum/Gene/Summary?g=TRIAE_CS42_6DL_TGACv1_526479_AA1684740","TRIAE_CS42_6DL_TGACv1_526479_AA1684740")</f>
        <v>TRIAE_CS42_6DL_TGACv1_526479_AA1684740</v>
      </c>
      <c r="F331" s="9" t="str">
        <f>HYPERLINK("http://mar2016-plants.ensembl.org/Triticum_aestivum/Gene/Summary?db=core;g=Traes_6DL_7B2EC9B84","Traes_6DL_7B2EC9B84")</f>
        <v>Traes_6DL_7B2EC9B84</v>
      </c>
      <c r="H331" s="1" t="s">
        <v>1051</v>
      </c>
      <c r="I331" s="1" t="s">
        <v>1051</v>
      </c>
      <c r="J331" s="1" t="s">
        <v>1051</v>
      </c>
      <c r="L331" s="6"/>
      <c r="M331" s="1" t="s">
        <v>973</v>
      </c>
      <c r="N331" s="1" t="s">
        <v>973</v>
      </c>
      <c r="O331" s="1">
        <v>1</v>
      </c>
      <c r="P331" s="1" t="s">
        <v>973</v>
      </c>
      <c r="Q331" s="1" t="s">
        <v>973</v>
      </c>
      <c r="R331" s="1" t="s">
        <v>973</v>
      </c>
      <c r="S331" s="1"/>
      <c r="T331" s="6"/>
      <c r="U331" s="11">
        <v>6.3177496554904131</v>
      </c>
      <c r="V331" s="11">
        <v>7.1559542690182933</v>
      </c>
      <c r="W331" s="11">
        <v>4.8932683581010989</v>
      </c>
      <c r="X331" s="11">
        <v>4.9271758741794791</v>
      </c>
      <c r="Y331" s="11">
        <v>5.6843755399815636</v>
      </c>
      <c r="Z331" s="11">
        <v>5.1397014121636673</v>
      </c>
      <c r="AA331" s="11">
        <v>5.2319763375141157</v>
      </c>
      <c r="AB331" s="11">
        <v>3.9116500418822122</v>
      </c>
      <c r="AC331" s="11">
        <v>1.1701387182104817</v>
      </c>
      <c r="AD331" s="11">
        <v>0</v>
      </c>
      <c r="AE331" s="11">
        <v>0.66235743425866345</v>
      </c>
      <c r="AF331" s="11">
        <v>0</v>
      </c>
      <c r="AG331" s="11">
        <v>0.16602981449478316</v>
      </c>
      <c r="AH331" s="11">
        <v>0</v>
      </c>
      <c r="AI331" s="11">
        <v>0</v>
      </c>
      <c r="AJ331" s="11">
        <v>0.32238968345021501</v>
      </c>
      <c r="AK331" s="6"/>
      <c r="AL331" t="s">
        <v>1077</v>
      </c>
      <c r="AM331">
        <v>3020</v>
      </c>
      <c r="AN331" s="6"/>
      <c r="AO331" s="20">
        <v>6.1852999999999998</v>
      </c>
      <c r="AP331" s="20">
        <v>8.0540000000000003</v>
      </c>
      <c r="AQ331" s="20">
        <v>5.4101999999999997</v>
      </c>
      <c r="AR331" s="20">
        <v>6.8856000000000002</v>
      </c>
      <c r="AS331" s="20">
        <v>7.4675000000000002</v>
      </c>
      <c r="AT331" s="20">
        <v>7.0526999999999997</v>
      </c>
      <c r="AU331" s="20">
        <v>7.3333000000000004</v>
      </c>
      <c r="AV331" s="20">
        <v>5.1294000000000004</v>
      </c>
      <c r="AW331" s="6"/>
      <c r="AX331" s="18">
        <v>4.2510000000000004E-12</v>
      </c>
      <c r="AY331" s="18">
        <v>2.101E-12</v>
      </c>
      <c r="AZ331" s="18">
        <v>4.6800000000000002E-8</v>
      </c>
      <c r="BA331" s="18">
        <v>2.2039999999999998E-9</v>
      </c>
      <c r="BB331" s="18">
        <v>9.6560000000000001E-12</v>
      </c>
      <c r="BC331" s="18">
        <v>8.4140000000000001E-10</v>
      </c>
      <c r="BD331" s="18">
        <v>1.671E-10</v>
      </c>
      <c r="BE331" s="18">
        <v>9.2969999999999992E-6</v>
      </c>
      <c r="BF331" s="13"/>
      <c r="BG331" t="s">
        <v>1125</v>
      </c>
      <c r="BH331" t="s">
        <v>1126</v>
      </c>
      <c r="BI331" t="s">
        <v>1113</v>
      </c>
      <c r="BJ331" t="s">
        <v>1114</v>
      </c>
      <c r="BK331" t="s">
        <v>1115</v>
      </c>
      <c r="BL331" t="s">
        <v>1116</v>
      </c>
      <c r="BM331" t="s">
        <v>1117</v>
      </c>
      <c r="BN331" s="13"/>
      <c r="BO331" t="s">
        <v>973</v>
      </c>
      <c r="BP331">
        <v>1</v>
      </c>
      <c r="BQ331" t="s">
        <v>973</v>
      </c>
      <c r="BR331" t="s">
        <v>973</v>
      </c>
    </row>
    <row r="332" spans="1:70" x14ac:dyDescent="0.25">
      <c r="A332" t="s">
        <v>839</v>
      </c>
      <c r="B332" t="s">
        <v>553</v>
      </c>
      <c r="C332" t="s">
        <v>32</v>
      </c>
      <c r="D332" s="6"/>
      <c r="E332" s="9" t="str">
        <f>HYPERLINK("http://plants.ensembl.org/Triticum_aestivum/Gene/Summary?g=TRIAE_CS42_6DL_TGACv1_528188_AA1712310","TRIAE_CS42_6DL_TGACv1_528188_AA1712310")</f>
        <v>TRIAE_CS42_6DL_TGACv1_528188_AA1712310</v>
      </c>
      <c r="F332" s="9" t="str">
        <f>HYPERLINK("http://mar2016-plants.ensembl.org/Triticum_aestivum/Gene/Summary?db=core;g=Traes_6DL_DD82BD107","Traes_6DL_DD82BD107")</f>
        <v>Traes_6DL_DD82BD107</v>
      </c>
      <c r="H332" s="8" t="str">
        <f>HYPERLINK("http://plants.ensembl.org/Brachypodium_distachyon/Gene/Summary?g=Bradi3g60120","Bradi3g60120")</f>
        <v>Bradi3g60120</v>
      </c>
      <c r="I332" s="1" t="s">
        <v>1051</v>
      </c>
      <c r="J332" s="9" t="str">
        <f>HYPERLINK("http://plants.ensembl.org/Oryza_sativa/Gene/Summary?db=otherfeatures;g=LOC_Os02g54160","LOC_Os02g54160")</f>
        <v>LOC_Os02g54160</v>
      </c>
      <c r="L332" s="6"/>
      <c r="M332" s="1" t="s">
        <v>973</v>
      </c>
      <c r="N332" s="1" t="s">
        <v>973</v>
      </c>
      <c r="O332" s="1">
        <v>1</v>
      </c>
      <c r="P332" s="1" t="s">
        <v>973</v>
      </c>
      <c r="Q332" s="1" t="s">
        <v>973</v>
      </c>
      <c r="R332" s="1" t="s">
        <v>973</v>
      </c>
      <c r="S332" s="1"/>
      <c r="T332" s="6"/>
      <c r="U332" s="11">
        <v>10.906134385177285</v>
      </c>
      <c r="V332" s="11">
        <v>10.744626330073485</v>
      </c>
      <c r="W332" s="11">
        <v>10.303630840113149</v>
      </c>
      <c r="X332" s="11">
        <v>10.468821716945323</v>
      </c>
      <c r="Y332" s="11">
        <v>10.558021238087058</v>
      </c>
      <c r="Z332" s="11">
        <v>10.491845381898067</v>
      </c>
      <c r="AA332" s="11">
        <v>9.6718792186206031</v>
      </c>
      <c r="AB332" s="11">
        <v>10.159724285366668</v>
      </c>
      <c r="AC332" s="11">
        <v>9.011977392268216</v>
      </c>
      <c r="AD332" s="11">
        <v>9.8932434780309286</v>
      </c>
      <c r="AE332" s="11">
        <v>9.2980576021199148</v>
      </c>
      <c r="AF332" s="11">
        <v>10.004502843543476</v>
      </c>
      <c r="AG332" s="11">
        <v>8.9430266884430942</v>
      </c>
      <c r="AH332" s="11">
        <v>10.084395535515613</v>
      </c>
      <c r="AI332" s="11">
        <v>8.9171102719693121</v>
      </c>
      <c r="AJ332" s="11">
        <v>9.815492547938236</v>
      </c>
      <c r="AK332" s="6"/>
      <c r="AL332" t="s">
        <v>1077</v>
      </c>
      <c r="AM332">
        <v>0</v>
      </c>
      <c r="AN332" s="6"/>
      <c r="AO332" s="20">
        <v>1.8983000000000001</v>
      </c>
      <c r="AP332" s="20">
        <v>0.83379999999999999</v>
      </c>
      <c r="AQ332" s="20">
        <v>1.0051000000000001</v>
      </c>
      <c r="AR332" s="20">
        <v>0.46429999999999999</v>
      </c>
      <c r="AS332" s="20">
        <v>1.6154999999999999</v>
      </c>
      <c r="AT332" s="20">
        <v>0.40579999999999999</v>
      </c>
      <c r="AU332" s="20">
        <v>0.75670000000000004</v>
      </c>
      <c r="AV332" s="20">
        <v>0.34389999999999998</v>
      </c>
      <c r="AW332" s="6"/>
      <c r="AX332" s="18">
        <v>1.471E-26</v>
      </c>
      <c r="AY332" s="18">
        <v>5.5149999999999997E-6</v>
      </c>
      <c r="AZ332" s="18">
        <v>1.05E-8</v>
      </c>
      <c r="BA332" s="18">
        <v>7.9330000000000008E-3</v>
      </c>
      <c r="BB332" s="18">
        <v>3.1680000000000001E-20</v>
      </c>
      <c r="BC332" s="18">
        <v>2.0160000000000001E-2</v>
      </c>
      <c r="BD332" s="18">
        <v>1.8470000000000001E-5</v>
      </c>
      <c r="BE332" s="18">
        <v>4.9730000000000003E-2</v>
      </c>
      <c r="BF332" s="13"/>
      <c r="BG332" t="s">
        <v>1358</v>
      </c>
      <c r="BH332" t="s">
        <v>1193</v>
      </c>
      <c r="BI332" t="s">
        <v>1113</v>
      </c>
      <c r="BJ332" t="s">
        <v>1114</v>
      </c>
      <c r="BK332" t="s">
        <v>1248</v>
      </c>
      <c r="BL332" t="s">
        <v>1116</v>
      </c>
      <c r="BM332" t="s">
        <v>1117</v>
      </c>
      <c r="BN332" s="13"/>
      <c r="BO332" t="s">
        <v>973</v>
      </c>
      <c r="BP332" t="s">
        <v>973</v>
      </c>
      <c r="BQ332" t="s">
        <v>973</v>
      </c>
      <c r="BR332" t="s">
        <v>973</v>
      </c>
    </row>
    <row r="333" spans="1:70" x14ac:dyDescent="0.25">
      <c r="A333" t="s">
        <v>845</v>
      </c>
      <c r="B333" t="s">
        <v>461</v>
      </c>
      <c r="C333" t="s">
        <v>462</v>
      </c>
      <c r="D333" s="6"/>
      <c r="E333" s="9" t="str">
        <f>HYPERLINK("http://plants.ensembl.org/Triticum_aestivum/Gene/Summary?g=TRIAE_CS42_7AS_TGACv1_569159_AA1808800","TRIAE_CS42_7AS_TGACv1_569159_AA1808800")</f>
        <v>TRIAE_CS42_7AS_TGACv1_569159_AA1808800</v>
      </c>
      <c r="H333" s="8" t="str">
        <f>HYPERLINK("http://plants.ensembl.org/Brachypodium_distachyon/Gene/Summary?g=Bradi1g45470","Bradi1g45470")</f>
        <v>Bradi1g45470</v>
      </c>
      <c r="I333" s="1" t="s">
        <v>1051</v>
      </c>
      <c r="J333" s="9" t="str">
        <f>HYPERLINK("http://plants.ensembl.org/Oryza_sativa/Gene/Summary?db=otherfeatures;g=LOC_Os06g11860","LOC_Os06g11860")</f>
        <v>LOC_Os06g11860</v>
      </c>
      <c r="L333" s="6"/>
      <c r="M333" s="1" t="s">
        <v>973</v>
      </c>
      <c r="N333" s="1" t="s">
        <v>973</v>
      </c>
      <c r="O333" s="1">
        <v>1</v>
      </c>
      <c r="P333" s="1" t="s">
        <v>973</v>
      </c>
      <c r="Q333" s="1" t="s">
        <v>973</v>
      </c>
      <c r="R333" s="1" t="s">
        <v>973</v>
      </c>
      <c r="S333" s="1"/>
      <c r="T333" s="6"/>
      <c r="U333" s="11">
        <v>6.7841855009417671</v>
      </c>
      <c r="V333" s="11">
        <v>6.8174245748331872</v>
      </c>
      <c r="W333" s="11">
        <v>6.4163809468803672</v>
      </c>
      <c r="X333" s="11">
        <v>5.5066442533136257</v>
      </c>
      <c r="Y333" s="11">
        <v>6.8339539257520672</v>
      </c>
      <c r="Z333" s="11">
        <v>6.3037314400356248</v>
      </c>
      <c r="AA333" s="11">
        <v>6.3004849633769595</v>
      </c>
      <c r="AB333" s="11">
        <v>6.0337100435965469</v>
      </c>
      <c r="AC333" s="11">
        <v>6.2054648492568996</v>
      </c>
      <c r="AD333" s="11">
        <v>4.0362981827470783</v>
      </c>
      <c r="AE333" s="11">
        <v>6.4086354450734335</v>
      </c>
      <c r="AF333" s="11">
        <v>5.6232308810828906</v>
      </c>
      <c r="AG333" s="11">
        <v>6.2343818829912845</v>
      </c>
      <c r="AH333" s="11">
        <v>4.9439213265534852</v>
      </c>
      <c r="AI333" s="11">
        <v>6.9340143645138284</v>
      </c>
      <c r="AJ333" s="11">
        <v>5.4484131444003197</v>
      </c>
      <c r="AK333" s="6"/>
      <c r="AL333" t="s">
        <v>1101</v>
      </c>
      <c r="AM333">
        <v>0</v>
      </c>
      <c r="AN333" s="6"/>
      <c r="AO333" s="20">
        <v>0.60440000000000005</v>
      </c>
      <c r="AP333" s="20">
        <v>2.2414000000000001</v>
      </c>
      <c r="AQ333" s="20">
        <v>4.0000000000000001E-3</v>
      </c>
      <c r="AR333" s="20">
        <v>-0.1206</v>
      </c>
      <c r="AS333" s="20">
        <v>0.6028</v>
      </c>
      <c r="AT333" s="20">
        <v>1.3743000000000001</v>
      </c>
      <c r="AU333" s="20">
        <v>-0.63670000000000004</v>
      </c>
      <c r="AV333" s="20">
        <v>0.59089999999999998</v>
      </c>
      <c r="AW333" s="6"/>
      <c r="AX333" s="18">
        <v>3.884E-2</v>
      </c>
      <c r="AY333" s="18">
        <v>3.3390000000000002E-9</v>
      </c>
      <c r="AZ333" s="18">
        <v>0.98829999999999996</v>
      </c>
      <c r="BA333" s="18">
        <v>0.68589999999999995</v>
      </c>
      <c r="BB333" s="18">
        <v>2.648E-2</v>
      </c>
      <c r="BC333" s="18">
        <v>4.8910000000000003E-6</v>
      </c>
      <c r="BD333" s="18">
        <v>1.8669999999999999E-2</v>
      </c>
      <c r="BE333" s="18">
        <v>4.3459999999999999E-2</v>
      </c>
      <c r="BF333" s="13"/>
      <c r="BG333" t="s">
        <v>1125</v>
      </c>
      <c r="BH333" t="s">
        <v>1179</v>
      </c>
      <c r="BI333" t="s">
        <v>1113</v>
      </c>
      <c r="BJ333" t="s">
        <v>1114</v>
      </c>
      <c r="BK333" t="s">
        <v>1178</v>
      </c>
      <c r="BL333" t="s">
        <v>1116</v>
      </c>
      <c r="BM333" t="s">
        <v>1117</v>
      </c>
      <c r="BN333" s="13"/>
      <c r="BO333" t="s">
        <v>973</v>
      </c>
      <c r="BP333" t="s">
        <v>973</v>
      </c>
      <c r="BQ333" t="s">
        <v>973</v>
      </c>
      <c r="BR333" t="s">
        <v>973</v>
      </c>
    </row>
    <row r="334" spans="1:70" x14ac:dyDescent="0.25">
      <c r="A334" t="s">
        <v>891</v>
      </c>
      <c r="B334" t="s">
        <v>892</v>
      </c>
      <c r="C334" t="s">
        <v>32</v>
      </c>
      <c r="D334" s="6"/>
      <c r="E334" s="9" t="str">
        <f>HYPERLINK("http://plants.ensembl.org/Triticum_aestivum/Gene/Summary?g=TRIAE_CS42_7BS_TGACv1_593677_AA1953710","TRIAE_CS42_7BS_TGACv1_593677_AA1953710")</f>
        <v>TRIAE_CS42_7BS_TGACv1_593677_AA1953710</v>
      </c>
      <c r="H334" s="1" t="s">
        <v>1051</v>
      </c>
      <c r="I334" s="1" t="s">
        <v>1051</v>
      </c>
      <c r="J334" s="1" t="s">
        <v>1051</v>
      </c>
      <c r="L334" s="6"/>
      <c r="M334" s="1" t="s">
        <v>973</v>
      </c>
      <c r="N334" s="1" t="s">
        <v>973</v>
      </c>
      <c r="O334" s="1">
        <v>1</v>
      </c>
      <c r="P334" s="1" t="s">
        <v>973</v>
      </c>
      <c r="Q334" s="1" t="s">
        <v>973</v>
      </c>
      <c r="R334" s="1" t="s">
        <v>973</v>
      </c>
      <c r="S334" s="1"/>
      <c r="T334" s="6"/>
      <c r="U334" s="11">
        <v>7.121843607327178</v>
      </c>
      <c r="V334" s="11">
        <v>7.1851043711573439</v>
      </c>
      <c r="W334" s="11">
        <v>6.4532020306181908</v>
      </c>
      <c r="X334" s="11">
        <v>7.2909588275100425</v>
      </c>
      <c r="Y334" s="11">
        <v>6.4298257143576913</v>
      </c>
      <c r="Z334" s="11">
        <v>7.0482329155171284</v>
      </c>
      <c r="AA334" s="11">
        <v>0.45936166809104545</v>
      </c>
      <c r="AB334" s="11">
        <v>0</v>
      </c>
      <c r="AC334" s="11">
        <v>6.7209264196200156</v>
      </c>
      <c r="AD334" s="11">
        <v>7.0329122778654032</v>
      </c>
      <c r="AE334" s="11">
        <v>6.2696740355931198</v>
      </c>
      <c r="AF334" s="11">
        <v>6.5006220235612453</v>
      </c>
      <c r="AG334" s="11">
        <v>6.3046856489376184</v>
      </c>
      <c r="AH334" s="11">
        <v>6.4862247045358155</v>
      </c>
      <c r="AI334" s="11">
        <v>0</v>
      </c>
      <c r="AJ334" s="11">
        <v>0.80837132044523463</v>
      </c>
      <c r="AK334" s="6"/>
      <c r="AL334" t="s">
        <v>1083</v>
      </c>
      <c r="AM334">
        <v>341</v>
      </c>
      <c r="AN334" s="6"/>
      <c r="AO334" s="20">
        <v>0.38009999999999999</v>
      </c>
      <c r="AP334" s="20">
        <v>2.4E-2</v>
      </c>
      <c r="AQ334" s="20">
        <v>0.18970000000000001</v>
      </c>
      <c r="AR334" s="20">
        <v>0.78410000000000002</v>
      </c>
      <c r="AS334" s="20">
        <v>0.1245</v>
      </c>
      <c r="AT334" s="20">
        <v>0.56669999999999998</v>
      </c>
      <c r="AU334" s="20">
        <v>1.0891</v>
      </c>
      <c r="AV334" s="20">
        <v>-1.5733999999999999</v>
      </c>
      <c r="AW334" s="6"/>
      <c r="AX334" s="18">
        <v>0.14630000000000001</v>
      </c>
      <c r="AY334" s="18">
        <v>0.93400000000000005</v>
      </c>
      <c r="AZ334" s="18">
        <v>0.45540000000000003</v>
      </c>
      <c r="BA334" s="18">
        <v>1.634E-3</v>
      </c>
      <c r="BB334" s="18">
        <v>0.621</v>
      </c>
      <c r="BC334" s="18">
        <v>2.3349999999999999E-2</v>
      </c>
      <c r="BD334" s="18">
        <v>0.41120000000000001</v>
      </c>
      <c r="BE334" s="18">
        <v>0.21629999999999999</v>
      </c>
      <c r="BF334" s="13"/>
      <c r="BG334" t="s">
        <v>1111</v>
      </c>
      <c r="BH334" t="s">
        <v>1293</v>
      </c>
      <c r="BI334" t="s">
        <v>1350</v>
      </c>
      <c r="BJ334" t="s">
        <v>1114</v>
      </c>
      <c r="BK334" t="s">
        <v>1115</v>
      </c>
      <c r="BL334" t="s">
        <v>1352</v>
      </c>
      <c r="BM334" t="s">
        <v>1117</v>
      </c>
      <c r="BN334" s="13"/>
      <c r="BO334" t="s">
        <v>973</v>
      </c>
      <c r="BP334" t="s">
        <v>973</v>
      </c>
      <c r="BQ334" t="s">
        <v>973</v>
      </c>
      <c r="BR334" t="s">
        <v>973</v>
      </c>
    </row>
    <row r="335" spans="1:70" x14ac:dyDescent="0.25">
      <c r="A335" t="s">
        <v>901</v>
      </c>
      <c r="B335" t="s">
        <v>461</v>
      </c>
      <c r="C335" t="s">
        <v>462</v>
      </c>
      <c r="D335" s="6"/>
      <c r="E335" s="9" t="str">
        <f>HYPERLINK("http://plants.ensembl.org/Triticum_aestivum/Gene/Summary?g=TRIAE_CS42_7BS_TGACv1_593422_AA1951390","TRIAE_CS42_7BS_TGACv1_593422_AA1951390")</f>
        <v>TRIAE_CS42_7BS_TGACv1_593422_AA1951390</v>
      </c>
      <c r="H335" s="8" t="str">
        <f>HYPERLINK("http://plants.ensembl.org/Brachypodium_distachyon/Gene/Summary?g=Bradi1g45470","Bradi1g45470")</f>
        <v>Bradi1g45470</v>
      </c>
      <c r="I335" s="1" t="s">
        <v>1051</v>
      </c>
      <c r="J335" s="9" t="str">
        <f>HYPERLINK("http://plants.ensembl.org/Oryza_sativa/Gene/Summary?db=otherfeatures;g=LOC_Os06g11860","LOC_Os06g11860")</f>
        <v>LOC_Os06g11860</v>
      </c>
      <c r="L335" s="6"/>
      <c r="M335" s="1" t="s">
        <v>973</v>
      </c>
      <c r="N335" s="1" t="s">
        <v>973</v>
      </c>
      <c r="O335" s="1">
        <v>1</v>
      </c>
      <c r="P335" s="1" t="s">
        <v>973</v>
      </c>
      <c r="Q335" s="1" t="s">
        <v>973</v>
      </c>
      <c r="R335" s="1" t="s">
        <v>973</v>
      </c>
      <c r="S335" s="1"/>
      <c r="T335" s="6"/>
      <c r="U335" s="11">
        <v>8.1846099154878473</v>
      </c>
      <c r="V335" s="11">
        <v>7.9840279905650711</v>
      </c>
      <c r="W335" s="11">
        <v>6.6493122313290733</v>
      </c>
      <c r="X335" s="11">
        <v>6.7947572204654225</v>
      </c>
      <c r="Y335" s="11">
        <v>6.250173331534433</v>
      </c>
      <c r="Z335" s="11">
        <v>5.8643264858434891</v>
      </c>
      <c r="AA335" s="11">
        <v>7.1978598229635926</v>
      </c>
      <c r="AB335" s="11">
        <v>6.9014103822733182</v>
      </c>
      <c r="AC335" s="11">
        <v>6.2190652365832584</v>
      </c>
      <c r="AD335" s="11">
        <v>5.6097776124328353</v>
      </c>
      <c r="AE335" s="11">
        <v>6.6736562936226589</v>
      </c>
      <c r="AF335" s="11">
        <v>5.8775037807358625</v>
      </c>
      <c r="AG335" s="11">
        <v>5.8173691434533401</v>
      </c>
      <c r="AH335" s="11">
        <v>4.446090773723216</v>
      </c>
      <c r="AI335" s="11">
        <v>7.2100647567975304</v>
      </c>
      <c r="AJ335" s="11">
        <v>6.1729914746593524</v>
      </c>
      <c r="AK335" s="6"/>
      <c r="AL335" t="s">
        <v>1077</v>
      </c>
      <c r="AM335">
        <v>0</v>
      </c>
      <c r="AN335" s="6"/>
      <c r="AO335" s="20">
        <v>1.9692000000000001</v>
      </c>
      <c r="AP335" s="20">
        <v>2.2370000000000001</v>
      </c>
      <c r="AQ335" s="20">
        <v>-2.7699999999999999E-2</v>
      </c>
      <c r="AR335" s="20">
        <v>0.92190000000000005</v>
      </c>
      <c r="AS335" s="20">
        <v>0.43159999999999998</v>
      </c>
      <c r="AT335" s="20">
        <v>1.4540999999999999</v>
      </c>
      <c r="AU335" s="20">
        <v>-1.6899999999999998E-2</v>
      </c>
      <c r="AV335" s="20">
        <v>0.73050000000000004</v>
      </c>
      <c r="AW335" s="6"/>
      <c r="AX335" s="18">
        <v>1.249E-8</v>
      </c>
      <c r="AY335" s="18">
        <v>5.4169999999999998E-9</v>
      </c>
      <c r="AZ335" s="18">
        <v>0.93510000000000004</v>
      </c>
      <c r="BA335" s="18">
        <v>8.0809999999999996E-3</v>
      </c>
      <c r="BB335" s="18">
        <v>0.2132</v>
      </c>
      <c r="BC335" s="18">
        <v>1.247E-4</v>
      </c>
      <c r="BD335" s="18">
        <v>0.95979999999999999</v>
      </c>
      <c r="BE335" s="18">
        <v>3.3590000000000002E-2</v>
      </c>
      <c r="BF335" s="13"/>
      <c r="BG335" t="s">
        <v>1191</v>
      </c>
      <c r="BH335" t="s">
        <v>1318</v>
      </c>
      <c r="BI335" t="s">
        <v>1113</v>
      </c>
      <c r="BJ335" t="s">
        <v>1114</v>
      </c>
      <c r="BK335" t="s">
        <v>1178</v>
      </c>
      <c r="BL335" t="s">
        <v>1220</v>
      </c>
      <c r="BM335" t="s">
        <v>1259</v>
      </c>
      <c r="BN335" s="13"/>
      <c r="BO335" t="s">
        <v>973</v>
      </c>
      <c r="BP335" t="s">
        <v>973</v>
      </c>
      <c r="BQ335" t="s">
        <v>973</v>
      </c>
      <c r="BR335" t="s">
        <v>973</v>
      </c>
    </row>
    <row r="336" spans="1:70" x14ac:dyDescent="0.25">
      <c r="A336" t="s">
        <v>914</v>
      </c>
      <c r="B336" t="s">
        <v>342</v>
      </c>
      <c r="C336" t="s">
        <v>32</v>
      </c>
      <c r="D336" s="6"/>
      <c r="E336" s="9" t="str">
        <f>HYPERLINK("http://plants.ensembl.org/Triticum_aestivum/Gene/Summary?g=TRIAE_CS42_7BS_TGACv1_592530_AA1939910","TRIAE_CS42_7BS_TGACv1_592530_AA1939910")</f>
        <v>TRIAE_CS42_7BS_TGACv1_592530_AA1939910</v>
      </c>
      <c r="H336" s="8" t="str">
        <f>HYPERLINK("http://plants.ensembl.org/Brachypodium_distachyon/Gene/Summary?g=Bradi3g41543","Bradi3g41543")</f>
        <v>Bradi3g41543</v>
      </c>
      <c r="I336" s="1" t="s">
        <v>1051</v>
      </c>
      <c r="J336" s="9" t="str">
        <f>HYPERLINK("http://plants.ensembl.org/Oryza_sativa/Gene/Summary?db=otherfeatures;g=LOC_Os04g32620","LOC_Os04g32620")</f>
        <v>LOC_Os04g32620</v>
      </c>
      <c r="L336" s="6"/>
      <c r="M336" s="1" t="s">
        <v>973</v>
      </c>
      <c r="N336" s="1" t="s">
        <v>973</v>
      </c>
      <c r="O336" s="1">
        <v>1</v>
      </c>
      <c r="P336" s="1" t="s">
        <v>973</v>
      </c>
      <c r="Q336" s="1" t="s">
        <v>973</v>
      </c>
      <c r="R336" s="1" t="s">
        <v>973</v>
      </c>
      <c r="S336" s="1"/>
      <c r="T336" s="6"/>
      <c r="U336" s="11">
        <v>4.5877050204089809</v>
      </c>
      <c r="V336" s="11">
        <v>6.6730640410217328</v>
      </c>
      <c r="W336" s="11">
        <v>3.9502413226731039</v>
      </c>
      <c r="X336" s="11">
        <v>4.9524655899135706</v>
      </c>
      <c r="Y336" s="11">
        <v>4.0894953260105211</v>
      </c>
      <c r="Z336" s="11">
        <v>3.9790833097000551</v>
      </c>
      <c r="AA336" s="11">
        <v>3.516952258068776</v>
      </c>
      <c r="AB336" s="11">
        <v>3.3309598894995203</v>
      </c>
      <c r="AC336" s="11">
        <v>2.043962703616216</v>
      </c>
      <c r="AD336" s="11">
        <v>3.7988005350256642</v>
      </c>
      <c r="AE336" s="11">
        <v>2.6150788128037914</v>
      </c>
      <c r="AF336" s="11">
        <v>2.7778860720746827</v>
      </c>
      <c r="AG336" s="11">
        <v>1.8202402437348526</v>
      </c>
      <c r="AH336" s="11">
        <v>2.6242412960725239</v>
      </c>
      <c r="AI336" s="11">
        <v>1.1918363409605501</v>
      </c>
      <c r="AJ336" s="11">
        <v>1.8449747704452282</v>
      </c>
      <c r="AK336" s="6"/>
      <c r="AL336" t="s">
        <v>1077</v>
      </c>
      <c r="AM336">
        <v>0</v>
      </c>
      <c r="AN336" s="6"/>
      <c r="AO336" s="20">
        <v>2.8172000000000001</v>
      </c>
      <c r="AP336" s="20">
        <v>2.6776</v>
      </c>
      <c r="AQ336" s="20">
        <v>1.4400999999999999</v>
      </c>
      <c r="AR336" s="20">
        <v>2.1985999999999999</v>
      </c>
      <c r="AS336" s="20">
        <v>2.4977</v>
      </c>
      <c r="AT336" s="20">
        <v>1.4429000000000001</v>
      </c>
      <c r="AU336" s="20">
        <v>2.8197999999999999</v>
      </c>
      <c r="AV336" s="20">
        <v>1.7182999999999999</v>
      </c>
      <c r="AW336" s="6"/>
      <c r="AX336" s="18">
        <v>2.261E-3</v>
      </c>
      <c r="AY336" s="18">
        <v>2.2989999999999998E-3</v>
      </c>
      <c r="AZ336" s="18">
        <v>9.7000000000000003E-2</v>
      </c>
      <c r="BA336" s="18">
        <v>1.0189999999999999E-2</v>
      </c>
      <c r="BB336" s="18">
        <v>4.6829999999999997E-3</v>
      </c>
      <c r="BC336" s="18">
        <v>9.8110000000000003E-2</v>
      </c>
      <c r="BD336" s="18">
        <v>4.1529999999999996E-3</v>
      </c>
      <c r="BE336" s="18">
        <v>6.3369999999999996E-2</v>
      </c>
      <c r="BF336" s="13"/>
      <c r="BG336" t="s">
        <v>1125</v>
      </c>
      <c r="BH336" t="s">
        <v>1269</v>
      </c>
      <c r="BI336" t="s">
        <v>1113</v>
      </c>
      <c r="BJ336" t="s">
        <v>1114</v>
      </c>
      <c r="BK336" t="s">
        <v>1115</v>
      </c>
      <c r="BL336" t="s">
        <v>1116</v>
      </c>
      <c r="BM336" t="s">
        <v>1117</v>
      </c>
      <c r="BN336" s="13"/>
      <c r="BO336" t="s">
        <v>973</v>
      </c>
      <c r="BP336" t="s">
        <v>973</v>
      </c>
      <c r="BQ336" t="s">
        <v>973</v>
      </c>
      <c r="BR336" t="s">
        <v>973</v>
      </c>
    </row>
    <row r="337" spans="1:70" x14ac:dyDescent="0.25">
      <c r="A337" t="s">
        <v>938</v>
      </c>
      <c r="B337" t="s">
        <v>461</v>
      </c>
      <c r="C337" t="s">
        <v>462</v>
      </c>
      <c r="D337" s="6"/>
      <c r="E337" s="9" t="str">
        <f>HYPERLINK("http://plants.ensembl.org/Triticum_aestivum/Gene/Summary?g=TRIAE_CS42_7DS_TGACv1_621830_AA2027150","TRIAE_CS42_7DS_TGACv1_621830_AA2027150")</f>
        <v>TRIAE_CS42_7DS_TGACv1_621830_AA2027150</v>
      </c>
      <c r="F337" s="9" t="str">
        <f>HYPERLINK("http://mar2016-plants.ensembl.org/Triticum_aestivum/Gene/Summary?db=core;g=Traes_7DS_943233EC4","Traes_7DS_943233EC4")</f>
        <v>Traes_7DS_943233EC4</v>
      </c>
      <c r="H337" s="8" t="str">
        <f>HYPERLINK("http://plants.ensembl.org/Brachypodium_distachyon/Gene/Summary?g=Bradi1g45470","Bradi1g45470")</f>
        <v>Bradi1g45470</v>
      </c>
      <c r="I337" s="1" t="s">
        <v>1051</v>
      </c>
      <c r="J337" s="9" t="str">
        <f>HYPERLINK("http://plants.ensembl.org/Oryza_sativa/Gene/Summary?db=otherfeatures;g=LOC_Os06g11860","LOC_Os06g11860")</f>
        <v>LOC_Os06g11860</v>
      </c>
      <c r="L337" s="6"/>
      <c r="M337" s="1" t="s">
        <v>973</v>
      </c>
      <c r="N337" s="1" t="s">
        <v>973</v>
      </c>
      <c r="O337" s="1">
        <v>1</v>
      </c>
      <c r="P337" s="1" t="s">
        <v>973</v>
      </c>
      <c r="Q337" s="1" t="s">
        <v>973</v>
      </c>
      <c r="R337" s="1" t="s">
        <v>973</v>
      </c>
      <c r="S337" s="1"/>
      <c r="T337" s="6"/>
      <c r="U337" s="11">
        <v>8.6955255013053261</v>
      </c>
      <c r="V337" s="11">
        <v>9.5220329871015128</v>
      </c>
      <c r="W337" s="11">
        <v>6.7288773970391658</v>
      </c>
      <c r="X337" s="11">
        <v>7.1969037065750108</v>
      </c>
      <c r="Y337" s="11">
        <v>6.9107074816666669</v>
      </c>
      <c r="Z337" s="11">
        <v>6.7499610241741763</v>
      </c>
      <c r="AA337" s="11">
        <v>7.5036153461885799</v>
      </c>
      <c r="AB337" s="11">
        <v>7.6245703084270762</v>
      </c>
      <c r="AC337" s="11">
        <v>6.3510075219899349</v>
      </c>
      <c r="AD337" s="11">
        <v>5.3393559585191088</v>
      </c>
      <c r="AE337" s="11">
        <v>6.4093841469685939</v>
      </c>
      <c r="AF337" s="11">
        <v>5.6646762486593305</v>
      </c>
      <c r="AG337" s="11">
        <v>6.2714437295892109</v>
      </c>
      <c r="AH337" s="11">
        <v>5.3401076463993435</v>
      </c>
      <c r="AI337" s="11">
        <v>7.1944837176981338</v>
      </c>
      <c r="AJ337" s="11">
        <v>5.9562619181924532</v>
      </c>
      <c r="AK337" s="6"/>
      <c r="AL337" t="s">
        <v>1077</v>
      </c>
      <c r="AM337">
        <v>0</v>
      </c>
      <c r="AN337" s="6"/>
      <c r="AO337" s="20">
        <v>2.3742999999999999</v>
      </c>
      <c r="AP337" s="20">
        <v>4.0537000000000001</v>
      </c>
      <c r="AQ337" s="20">
        <v>0.32100000000000001</v>
      </c>
      <c r="AR337" s="20">
        <v>1.5156000000000001</v>
      </c>
      <c r="AS337" s="20">
        <v>0.63890000000000002</v>
      </c>
      <c r="AT337" s="20">
        <v>1.411</v>
      </c>
      <c r="AU337" s="20">
        <v>0.30880000000000002</v>
      </c>
      <c r="AV337" s="20">
        <v>1.6712</v>
      </c>
      <c r="AW337" s="6"/>
      <c r="AX337" s="18">
        <v>3.639E-10</v>
      </c>
      <c r="AY337" s="18">
        <v>1.001E-22</v>
      </c>
      <c r="AZ337" s="18">
        <v>0.3957</v>
      </c>
      <c r="BA337" s="18">
        <v>7.9389999999999997E-5</v>
      </c>
      <c r="BB337" s="18">
        <v>8.9499999999999996E-2</v>
      </c>
      <c r="BC337" s="18">
        <v>2.922E-4</v>
      </c>
      <c r="BD337" s="18">
        <v>0.40529999999999999</v>
      </c>
      <c r="BE337" s="18">
        <v>1.0169999999999999E-5</v>
      </c>
      <c r="BF337" s="13"/>
      <c r="BG337" t="s">
        <v>1258</v>
      </c>
      <c r="BH337" t="s">
        <v>1132</v>
      </c>
      <c r="BI337" t="s">
        <v>1113</v>
      </c>
      <c r="BJ337" t="s">
        <v>1114</v>
      </c>
      <c r="BK337" t="s">
        <v>1178</v>
      </c>
      <c r="BL337" t="s">
        <v>1116</v>
      </c>
      <c r="BM337" t="s">
        <v>1117</v>
      </c>
      <c r="BN337" s="13"/>
      <c r="BO337" t="s">
        <v>973</v>
      </c>
      <c r="BP337" t="s">
        <v>973</v>
      </c>
      <c r="BQ337" t="s">
        <v>973</v>
      </c>
      <c r="BR337" t="s">
        <v>973</v>
      </c>
    </row>
    <row r="338" spans="1:70" x14ac:dyDescent="0.25">
      <c r="A338" t="s">
        <v>952</v>
      </c>
      <c r="B338" t="s">
        <v>771</v>
      </c>
      <c r="C338" t="s">
        <v>32</v>
      </c>
      <c r="D338" s="6"/>
      <c r="E338" s="9" t="str">
        <f>HYPERLINK("http://plants.ensembl.org/Triticum_aestivum/Gene/Summary?g=TRIAE_CS42_7DL_TGACv1_604154_AA1994580","TRIAE_CS42_7DL_TGACv1_604154_AA1994580")</f>
        <v>TRIAE_CS42_7DL_TGACv1_604154_AA1994580</v>
      </c>
      <c r="F338" s="9" t="str">
        <f>HYPERLINK("http://mar2016-plants.ensembl.org/Triticum_aestivum/Gene/Summary?db=core;g=Traes_7DL_E1D7A51C8","Traes_7DL_E1D7A51C8")</f>
        <v>Traes_7DL_E1D7A51C8</v>
      </c>
      <c r="H338" s="8" t="str">
        <f>HYPERLINK("http://plants.ensembl.org/Brachypodium_distachyon/Gene/Summary?g=Bradi1g36590","Bradi1g36590")</f>
        <v>Bradi1g36590</v>
      </c>
      <c r="I338" s="8" t="str">
        <f>HYPERLINK("http://plants.ensembl.org/Arabidopsis_thaliana/Gene/Summary?g=AT1G15360","AT1G15360")</f>
        <v>AT1G15360</v>
      </c>
      <c r="J338" s="9" t="str">
        <f>HYPERLINK("http://plants.ensembl.org/Oryza_sativa/Gene/Summary?db=otherfeatures;g=LOC_Os02g10760","LOC_Os02g10760")</f>
        <v>LOC_Os02g10760</v>
      </c>
      <c r="L338" s="6"/>
      <c r="M338" s="1" t="s">
        <v>973</v>
      </c>
      <c r="N338" s="1" t="s">
        <v>973</v>
      </c>
      <c r="O338" s="1">
        <v>1</v>
      </c>
      <c r="P338" s="1" t="s">
        <v>973</v>
      </c>
      <c r="Q338" s="1" t="s">
        <v>973</v>
      </c>
      <c r="R338" s="1" t="s">
        <v>973</v>
      </c>
      <c r="S338" s="1"/>
      <c r="T338" s="6"/>
      <c r="U338" s="11">
        <v>5.3639711840934092</v>
      </c>
      <c r="V338" s="11">
        <v>5.0424196283274405</v>
      </c>
      <c r="W338" s="11">
        <v>5.6723612207669749</v>
      </c>
      <c r="X338" s="11">
        <v>6.0329750724787354</v>
      </c>
      <c r="Y338" s="11">
        <v>5.6452318647510547</v>
      </c>
      <c r="Z338" s="11">
        <v>6.2124175911007322</v>
      </c>
      <c r="AA338" s="11">
        <v>5.9835796574120632</v>
      </c>
      <c r="AB338" s="11">
        <v>6.2288770383153977</v>
      </c>
      <c r="AC338" s="11">
        <v>5.4270719906978373</v>
      </c>
      <c r="AD338" s="11">
        <v>7.0849288287716359</v>
      </c>
      <c r="AE338" s="11">
        <v>6.1617755131785339</v>
      </c>
      <c r="AF338" s="11">
        <v>6.7678516282961239</v>
      </c>
      <c r="AG338" s="11">
        <v>5.6435050912627238</v>
      </c>
      <c r="AH338" s="11">
        <v>6.8170557028921088</v>
      </c>
      <c r="AI338" s="11">
        <v>5.3963022258696407</v>
      </c>
      <c r="AJ338" s="11">
        <v>6.723153053667529</v>
      </c>
      <c r="AK338" s="6"/>
      <c r="AL338" t="s">
        <v>1082</v>
      </c>
      <c r="AM338">
        <v>0</v>
      </c>
      <c r="AN338" s="6"/>
      <c r="AO338" s="20">
        <v>-0.19409999999999999</v>
      </c>
      <c r="AP338" s="20">
        <v>-1.7905</v>
      </c>
      <c r="AQ338" s="20">
        <v>-0.4919</v>
      </c>
      <c r="AR338" s="20">
        <v>-0.74939999999999996</v>
      </c>
      <c r="AS338" s="20">
        <v>1.24E-2</v>
      </c>
      <c r="AT338" s="20">
        <v>-0.60509999999999997</v>
      </c>
      <c r="AU338" s="20">
        <v>0.61650000000000005</v>
      </c>
      <c r="AV338" s="20">
        <v>-0.49809999999999999</v>
      </c>
      <c r="AW338" s="6"/>
      <c r="AX338" s="18">
        <v>0.54549999999999998</v>
      </c>
      <c r="AY338" s="18">
        <v>5.144E-7</v>
      </c>
      <c r="AZ338" s="18">
        <v>6.2979999999999994E-2</v>
      </c>
      <c r="BA338" s="18">
        <v>3.7260000000000001E-3</v>
      </c>
      <c r="BB338" s="18">
        <v>0.96319999999999995</v>
      </c>
      <c r="BC338" s="18">
        <v>1.7389999999999999E-2</v>
      </c>
      <c r="BD338" s="18">
        <v>2.1590000000000002E-2</v>
      </c>
      <c r="BE338" s="18">
        <v>5.2209999999999999E-2</v>
      </c>
      <c r="BF338" s="13"/>
      <c r="BG338" t="s">
        <v>1128</v>
      </c>
      <c r="BH338" t="s">
        <v>1112</v>
      </c>
      <c r="BI338" t="s">
        <v>1113</v>
      </c>
      <c r="BJ338" t="s">
        <v>1114</v>
      </c>
      <c r="BK338" t="s">
        <v>1252</v>
      </c>
      <c r="BL338" t="s">
        <v>1116</v>
      </c>
      <c r="BM338" t="s">
        <v>1117</v>
      </c>
      <c r="BN338" s="13"/>
      <c r="BO338" t="s">
        <v>973</v>
      </c>
      <c r="BP338" t="s">
        <v>973</v>
      </c>
      <c r="BQ338" t="s">
        <v>973</v>
      </c>
      <c r="BR338" t="s">
        <v>973</v>
      </c>
    </row>
    <row r="339" spans="1:70" x14ac:dyDescent="0.25">
      <c r="A339" t="s">
        <v>27</v>
      </c>
      <c r="B339" t="s">
        <v>28</v>
      </c>
      <c r="C339" t="s">
        <v>29</v>
      </c>
      <c r="D339" s="6"/>
      <c r="E339" s="9" t="str">
        <f>HYPERLINK("http://plants.ensembl.org/Triticum_aestivum/Gene/Summary?g=TRIAE_CS42_1AL_TGACv1_000361_AA0010050","TRIAE_CS42_1AL_TGACv1_000361_AA0010050")</f>
        <v>TRIAE_CS42_1AL_TGACv1_000361_AA0010050</v>
      </c>
      <c r="F339" s="9" t="str">
        <f>HYPERLINK("http://mar2016-plants.ensembl.org/Triticum_aestivum/Gene/Summary?db=core;g=Traes_1AL_7BE5906B2","Traes_1AL_7BE5906B2")</f>
        <v>Traes_1AL_7BE5906B2</v>
      </c>
      <c r="H339" s="1" t="s">
        <v>1051</v>
      </c>
      <c r="I339" s="1" t="s">
        <v>1051</v>
      </c>
      <c r="J339" s="1" t="s">
        <v>1051</v>
      </c>
      <c r="L339" s="6"/>
      <c r="M339" s="1" t="s">
        <v>973</v>
      </c>
      <c r="N339" s="1" t="s">
        <v>973</v>
      </c>
      <c r="O339" s="1">
        <v>1</v>
      </c>
      <c r="P339" s="1" t="s">
        <v>973</v>
      </c>
      <c r="Q339" s="1" t="s">
        <v>973</v>
      </c>
      <c r="R339" s="1" t="s">
        <v>973</v>
      </c>
      <c r="S339" s="1"/>
      <c r="T339" s="6"/>
      <c r="U339" s="11">
        <v>7.9892060075500044</v>
      </c>
      <c r="V339" s="11">
        <v>7.7557210410950699</v>
      </c>
      <c r="W339" s="11">
        <v>5.6022153497286666</v>
      </c>
      <c r="X339" s="11">
        <v>5.9146976573109855</v>
      </c>
      <c r="Y339" s="11">
        <v>5.6237508065211701</v>
      </c>
      <c r="Z339" s="11">
        <v>5.5139801934893224</v>
      </c>
      <c r="AA339" s="11">
        <v>6.3654160921350602</v>
      </c>
      <c r="AB339" s="11">
        <v>5.2032298741731111</v>
      </c>
      <c r="AC339" s="11">
        <v>3.3662429367038027</v>
      </c>
      <c r="AD339" s="11">
        <v>2.151458373244707</v>
      </c>
      <c r="AE339" s="11">
        <v>2.0061184613833798</v>
      </c>
      <c r="AF339" s="11">
        <v>2.8009999578105607</v>
      </c>
      <c r="AG339" s="11">
        <v>1.3761421790078967</v>
      </c>
      <c r="AH339" s="11">
        <v>1.4575592724365221</v>
      </c>
      <c r="AI339" s="11">
        <v>1.5811744650159345</v>
      </c>
      <c r="AJ339" s="11">
        <v>1.8487180737986042</v>
      </c>
      <c r="AK339" s="6"/>
      <c r="AL339" t="s">
        <v>1077</v>
      </c>
      <c r="AM339">
        <v>846</v>
      </c>
      <c r="AN339" s="6"/>
      <c r="AO339" s="20">
        <v>4.7154999999999996</v>
      </c>
      <c r="AP339" s="20">
        <v>6.7102000000000004</v>
      </c>
      <c r="AQ339" s="20">
        <v>3.8626</v>
      </c>
      <c r="AR339" s="20">
        <v>3.1734</v>
      </c>
      <c r="AS339" s="20">
        <v>4.6981999999999999</v>
      </c>
      <c r="AT339" s="20">
        <v>4.4558</v>
      </c>
      <c r="AU339" s="20">
        <v>5.1382000000000003</v>
      </c>
      <c r="AV339" s="20">
        <v>3.6541999999999999</v>
      </c>
      <c r="AW339" s="6"/>
      <c r="AX339" s="18">
        <v>6.6569999999999996E-11</v>
      </c>
      <c r="AY339" s="18">
        <v>1.0760000000000001E-12</v>
      </c>
      <c r="AZ339" s="18">
        <v>8.6580000000000004E-7</v>
      </c>
      <c r="BA339" s="18">
        <v>1.774E-5</v>
      </c>
      <c r="BB339" s="18">
        <v>4.7239999999999998E-9</v>
      </c>
      <c r="BC339" s="18">
        <v>1.9600000000000001E-7</v>
      </c>
      <c r="BD339" s="18">
        <v>3.1799999999999999E-10</v>
      </c>
      <c r="BE339" s="18">
        <v>4.7079999999999996E-6</v>
      </c>
      <c r="BF339" s="13"/>
      <c r="BG339" t="s">
        <v>1191</v>
      </c>
      <c r="BH339" t="s">
        <v>1318</v>
      </c>
      <c r="BI339" t="s">
        <v>1113</v>
      </c>
      <c r="BJ339" t="s">
        <v>1114</v>
      </c>
      <c r="BK339" t="s">
        <v>1115</v>
      </c>
      <c r="BL339" t="s">
        <v>1116</v>
      </c>
      <c r="BM339" t="s">
        <v>1117</v>
      </c>
      <c r="BN339" s="13"/>
      <c r="BO339" t="s">
        <v>973</v>
      </c>
      <c r="BP339" t="s">
        <v>973</v>
      </c>
      <c r="BQ339" t="s">
        <v>973</v>
      </c>
      <c r="BR339" t="s">
        <v>973</v>
      </c>
    </row>
    <row r="340" spans="1:70" x14ac:dyDescent="0.25">
      <c r="A340" t="s">
        <v>83</v>
      </c>
      <c r="B340" t="s">
        <v>28</v>
      </c>
      <c r="C340" t="s">
        <v>29</v>
      </c>
      <c r="D340" s="6"/>
      <c r="E340" s="9" t="str">
        <f>HYPERLINK("http://plants.ensembl.org/Triticum_aestivum/Gene/Summary?g=TRIAE_CS42_1BL_TGACv1_032814_AA0134350","TRIAE_CS42_1BL_TGACv1_032814_AA0134350")</f>
        <v>TRIAE_CS42_1BL_TGACv1_032814_AA0134350</v>
      </c>
      <c r="H340" s="1" t="s">
        <v>1051</v>
      </c>
      <c r="I340" s="1" t="s">
        <v>1051</v>
      </c>
      <c r="J340" s="1" t="s">
        <v>1051</v>
      </c>
      <c r="L340" s="6"/>
      <c r="M340" s="1" t="s">
        <v>973</v>
      </c>
      <c r="N340" s="1" t="s">
        <v>973</v>
      </c>
      <c r="O340" s="1">
        <v>1</v>
      </c>
      <c r="P340" s="1" t="s">
        <v>973</v>
      </c>
      <c r="Q340" s="1" t="s">
        <v>973</v>
      </c>
      <c r="R340" s="1" t="s">
        <v>973</v>
      </c>
      <c r="S340" s="1"/>
      <c r="T340" s="6"/>
      <c r="U340" s="11">
        <v>6.315563815198673</v>
      </c>
      <c r="V340" s="11">
        <v>7.175356596243514</v>
      </c>
      <c r="W340" s="11">
        <v>5.8102014347564221</v>
      </c>
      <c r="X340" s="11">
        <v>6.5890093899111148</v>
      </c>
      <c r="Y340" s="11">
        <v>6.2993722778046441</v>
      </c>
      <c r="Z340" s="11">
        <v>6.5439922657621024</v>
      </c>
      <c r="AA340" s="11">
        <v>6.5229371756558914</v>
      </c>
      <c r="AB340" s="11">
        <v>6.5425691553873344</v>
      </c>
      <c r="AC340" s="11">
        <v>3.4441413749779866</v>
      </c>
      <c r="AD340" s="11">
        <v>2.2952724180473028</v>
      </c>
      <c r="AE340" s="11">
        <v>3.359483687606541</v>
      </c>
      <c r="AF340" s="11">
        <v>3.3299176973610369</v>
      </c>
      <c r="AG340" s="11">
        <v>2.2650367587449418</v>
      </c>
      <c r="AH340" s="11">
        <v>1.7301834378067857</v>
      </c>
      <c r="AI340" s="11">
        <v>2.8947013731308604</v>
      </c>
      <c r="AJ340" s="11">
        <v>2.9016875222999059</v>
      </c>
      <c r="AK340" s="6"/>
      <c r="AL340" t="s">
        <v>1077</v>
      </c>
      <c r="AM340">
        <v>1206</v>
      </c>
      <c r="AN340" s="6"/>
      <c r="AO340" s="20">
        <v>2.9744999999999999</v>
      </c>
      <c r="AP340" s="20">
        <v>4.5900999999999996</v>
      </c>
      <c r="AQ340" s="20">
        <v>2.5007999999999999</v>
      </c>
      <c r="AR340" s="20">
        <v>3.2391000000000001</v>
      </c>
      <c r="AS340" s="20">
        <v>4.2401999999999997</v>
      </c>
      <c r="AT340" s="20">
        <v>5.0648</v>
      </c>
      <c r="AU340" s="20">
        <v>3.6856</v>
      </c>
      <c r="AV340" s="20">
        <v>3.7082000000000002</v>
      </c>
      <c r="AW340" s="6"/>
      <c r="AX340" s="18">
        <v>2.1719999999999999E-4</v>
      </c>
      <c r="AY340" s="18">
        <v>3.0800000000000001E-7</v>
      </c>
      <c r="AZ340" s="18">
        <v>1.632E-3</v>
      </c>
      <c r="BA340" s="18">
        <v>4.6140000000000002E-5</v>
      </c>
      <c r="BB340" s="18">
        <v>1.807E-7</v>
      </c>
      <c r="BC340" s="18">
        <v>9.0620000000000003E-9</v>
      </c>
      <c r="BD340" s="18">
        <v>4.3640000000000001E-6</v>
      </c>
      <c r="BE340" s="18">
        <v>3.9280000000000003E-6</v>
      </c>
      <c r="BF340" s="13"/>
      <c r="BG340" t="s">
        <v>1125</v>
      </c>
      <c r="BH340" t="s">
        <v>1112</v>
      </c>
      <c r="BI340" t="s">
        <v>1113</v>
      </c>
      <c r="BJ340" t="s">
        <v>1114</v>
      </c>
      <c r="BK340" t="s">
        <v>1115</v>
      </c>
      <c r="BL340" t="s">
        <v>1116</v>
      </c>
      <c r="BM340" t="s">
        <v>1117</v>
      </c>
      <c r="BN340" s="13"/>
      <c r="BO340" t="s">
        <v>973</v>
      </c>
      <c r="BP340" t="s">
        <v>973</v>
      </c>
      <c r="BQ340" t="s">
        <v>973</v>
      </c>
      <c r="BR340" t="s">
        <v>973</v>
      </c>
    </row>
    <row r="341" spans="1:70" x14ac:dyDescent="0.25">
      <c r="A341" t="s">
        <v>170</v>
      </c>
      <c r="B341" t="s">
        <v>171</v>
      </c>
      <c r="C341" t="s">
        <v>29</v>
      </c>
      <c r="D341" s="6"/>
      <c r="E341" s="9" t="str">
        <f>HYPERLINK("http://plants.ensembl.org/Triticum_aestivum/Gene/Summary?g=TRIAE_CS42_2AL_TGACv1_094549_AA0299530","TRIAE_CS42_2AL_TGACv1_094549_AA0299530")</f>
        <v>TRIAE_CS42_2AL_TGACv1_094549_AA0299530</v>
      </c>
      <c r="F341" s="9" t="str">
        <f>HYPERLINK("http://mar2016-plants.ensembl.org/Triticum_aestivum/Gene/Summary?db=core;g=Traes_2AL_158F8EE88","Traes_2AL_158F8EE88")</f>
        <v>Traes_2AL_158F8EE88</v>
      </c>
      <c r="H341" s="8" t="str">
        <f>HYPERLINK("http://plants.ensembl.org/Brachypodium_distachyon/Gene/Summary?g=Bradi5g17480","Bradi5g17480")</f>
        <v>Bradi5g17480</v>
      </c>
      <c r="I341" s="8" t="str">
        <f>HYPERLINK("http://plants.ensembl.org/Arabidopsis_thaliana/Gene/Summary?g=AT4G17500","AT4G17500")</f>
        <v>AT4G17500</v>
      </c>
      <c r="J341" s="9" t="str">
        <f>HYPERLINK("http://plants.ensembl.org/Oryza_sativa/Gene/Summary?db=otherfeatures;g=LOC_Os04g46220","LOC_Os04g46220")</f>
        <v>LOC_Os04g46220</v>
      </c>
      <c r="L341" s="6"/>
      <c r="M341" s="1" t="s">
        <v>973</v>
      </c>
      <c r="N341" s="1" t="s">
        <v>973</v>
      </c>
      <c r="O341" s="1">
        <v>1</v>
      </c>
      <c r="P341" s="1" t="s">
        <v>973</v>
      </c>
      <c r="Q341" s="1" t="s">
        <v>973</v>
      </c>
      <c r="R341" s="1" t="s">
        <v>973</v>
      </c>
      <c r="S341" s="1"/>
      <c r="T341" s="6"/>
      <c r="U341" s="11">
        <v>7.2886732406469728</v>
      </c>
      <c r="V341" s="11">
        <v>7.7277698257083562</v>
      </c>
      <c r="W341" s="11">
        <v>6.2825608894368026</v>
      </c>
      <c r="X341" s="11">
        <v>6.3906481982238725</v>
      </c>
      <c r="Y341" s="11">
        <v>5.7288647024312267</v>
      </c>
      <c r="Z341" s="11">
        <v>6.0035947413623001</v>
      </c>
      <c r="AA341" s="11">
        <v>6.7773605335573599</v>
      </c>
      <c r="AB341" s="11">
        <v>5.5781205515296808</v>
      </c>
      <c r="AC341" s="11">
        <v>4.5810338273782687</v>
      </c>
      <c r="AD341" s="11">
        <v>3.6624030115202171</v>
      </c>
      <c r="AE341" s="11">
        <v>3.9917561350862321</v>
      </c>
      <c r="AF341" s="11">
        <v>3.7914077676969589</v>
      </c>
      <c r="AG341" s="11">
        <v>3.9108861319355972</v>
      </c>
      <c r="AH341" s="11">
        <v>2.8074923150428885</v>
      </c>
      <c r="AI341" s="11">
        <v>3.6454634182512846</v>
      </c>
      <c r="AJ341" s="11">
        <v>2.7870841473078825</v>
      </c>
      <c r="AK341" s="6"/>
      <c r="AL341" t="s">
        <v>1077</v>
      </c>
      <c r="AM341">
        <v>693</v>
      </c>
      <c r="AN341" s="6"/>
      <c r="AO341" s="20">
        <v>2.7103000000000002</v>
      </c>
      <c r="AP341" s="20">
        <v>3.9331999999999998</v>
      </c>
      <c r="AQ341" s="20">
        <v>2.2860999999999998</v>
      </c>
      <c r="AR341" s="20">
        <v>2.5794000000000001</v>
      </c>
      <c r="AS341" s="20">
        <v>1.8164</v>
      </c>
      <c r="AT341" s="20">
        <v>3.2683</v>
      </c>
      <c r="AU341" s="20">
        <v>3.1246999999999998</v>
      </c>
      <c r="AV341" s="20">
        <v>2.8673999999999999</v>
      </c>
      <c r="AW341" s="6"/>
      <c r="AX341" s="18">
        <v>8.3920000000000002E-4</v>
      </c>
      <c r="AY341" s="18">
        <v>5.6690000000000003E-6</v>
      </c>
      <c r="AZ341" s="18">
        <v>4.9439999999999996E-3</v>
      </c>
      <c r="BA341" s="18">
        <v>1.634E-3</v>
      </c>
      <c r="BB341" s="18">
        <v>2.5059999999999999E-2</v>
      </c>
      <c r="BC341" s="18">
        <v>1.1179999999999999E-4</v>
      </c>
      <c r="BD341" s="18">
        <v>1.2960000000000001E-4</v>
      </c>
      <c r="BE341" s="18">
        <v>6.6239999999999995E-4</v>
      </c>
      <c r="BF341" s="13"/>
      <c r="BG341" t="s">
        <v>1310</v>
      </c>
      <c r="BH341" t="s">
        <v>1155</v>
      </c>
      <c r="BI341" t="s">
        <v>1113</v>
      </c>
      <c r="BJ341" t="s">
        <v>1114</v>
      </c>
      <c r="BK341" t="s">
        <v>1115</v>
      </c>
      <c r="BL341" t="s">
        <v>1116</v>
      </c>
      <c r="BM341" t="s">
        <v>1117</v>
      </c>
      <c r="BN341" s="13"/>
      <c r="BO341" t="s">
        <v>973</v>
      </c>
      <c r="BP341" t="s">
        <v>973</v>
      </c>
      <c r="BQ341" t="s">
        <v>973</v>
      </c>
      <c r="BR341" t="s">
        <v>973</v>
      </c>
    </row>
    <row r="342" spans="1:70" x14ac:dyDescent="0.25">
      <c r="A342" t="s">
        <v>172</v>
      </c>
      <c r="B342" t="s">
        <v>173</v>
      </c>
      <c r="C342" t="s">
        <v>29</v>
      </c>
      <c r="D342" s="6"/>
      <c r="E342" s="9" t="str">
        <f>HYPERLINK("http://plants.ensembl.org/Triticum_aestivum/Gene/Summary?g=TRIAE_CS42_2AL_TGACv1_094374_AA0296690","TRIAE_CS42_2AL_TGACv1_094374_AA0296690")</f>
        <v>TRIAE_CS42_2AL_TGACv1_094374_AA0296690</v>
      </c>
      <c r="H342" s="8" t="str">
        <f>HYPERLINK("http://plants.ensembl.org/Brachypodium_distachyon/Gene/Summary?g=Bradi5g21250","Bradi5g21250")</f>
        <v>Bradi5g21250</v>
      </c>
      <c r="I342" s="1" t="s">
        <v>1051</v>
      </c>
      <c r="J342" s="9" t="str">
        <f>HYPERLINK("http://plants.ensembl.org/Oryza_sativa/Gene/Summary?db=otherfeatures;g=LOC_Os04g52090","LOC_Os04g52090")</f>
        <v>LOC_Os04g52090</v>
      </c>
      <c r="L342" s="6"/>
      <c r="M342" s="1" t="s">
        <v>973</v>
      </c>
      <c r="N342" s="1" t="s">
        <v>973</v>
      </c>
      <c r="O342" s="1">
        <v>1</v>
      </c>
      <c r="P342" s="1" t="s">
        <v>973</v>
      </c>
      <c r="Q342" s="1" t="s">
        <v>973</v>
      </c>
      <c r="R342" s="1" t="s">
        <v>973</v>
      </c>
      <c r="S342" s="1"/>
      <c r="T342" s="6"/>
      <c r="U342" s="11">
        <v>7.3924276244409022</v>
      </c>
      <c r="V342" s="11">
        <v>8.8605432333074745</v>
      </c>
      <c r="W342" s="11">
        <v>6.3523000783184571</v>
      </c>
      <c r="X342" s="11">
        <v>6.9222470159251444</v>
      </c>
      <c r="Y342" s="11">
        <v>6.5735345948254782</v>
      </c>
      <c r="Z342" s="11">
        <v>6.5953808248925245</v>
      </c>
      <c r="AA342" s="11">
        <v>6.6121912728004411</v>
      </c>
      <c r="AB342" s="11">
        <v>6.2938082001040971</v>
      </c>
      <c r="AC342" s="11">
        <v>4.0814362129699262</v>
      </c>
      <c r="AD342" s="11">
        <v>2.7034994238422305</v>
      </c>
      <c r="AE342" s="11">
        <v>3.2255063102193025</v>
      </c>
      <c r="AF342" s="11">
        <v>3.7531980257846227</v>
      </c>
      <c r="AG342" s="11">
        <v>2.5190805575550197</v>
      </c>
      <c r="AH342" s="11">
        <v>2.8999940858120294</v>
      </c>
      <c r="AI342" s="11">
        <v>3.9509069417183373</v>
      </c>
      <c r="AJ342" s="11">
        <v>4.1626800067342815</v>
      </c>
      <c r="AK342" s="6"/>
      <c r="AL342" t="s">
        <v>1077</v>
      </c>
      <c r="AM342">
        <v>624</v>
      </c>
      <c r="AN342" s="6"/>
      <c r="AO342" s="20">
        <v>3.36</v>
      </c>
      <c r="AP342" s="20">
        <v>5.8507999999999996</v>
      </c>
      <c r="AQ342" s="20">
        <v>3.1949999999999998</v>
      </c>
      <c r="AR342" s="20">
        <v>3.1442999999999999</v>
      </c>
      <c r="AS342" s="20">
        <v>4.1859999999999999</v>
      </c>
      <c r="AT342" s="20">
        <v>3.7808999999999999</v>
      </c>
      <c r="AU342" s="20">
        <v>2.6724999999999999</v>
      </c>
      <c r="AV342" s="20">
        <v>2.1453000000000002</v>
      </c>
      <c r="AW342" s="6"/>
      <c r="AX342" s="18">
        <v>5.9029999999999999E-7</v>
      </c>
      <c r="AY342" s="18">
        <v>1.027E-14</v>
      </c>
      <c r="AZ342" s="18">
        <v>3.2009999999999999E-6</v>
      </c>
      <c r="BA342" s="18">
        <v>3.005E-6</v>
      </c>
      <c r="BB342" s="18">
        <v>1.496E-9</v>
      </c>
      <c r="BC342" s="18">
        <v>7.5450000000000004E-8</v>
      </c>
      <c r="BD342" s="18">
        <v>5.9670000000000003E-5</v>
      </c>
      <c r="BE342" s="18">
        <v>1.2539999999999999E-3</v>
      </c>
      <c r="BF342" s="13"/>
      <c r="BG342" t="s">
        <v>1299</v>
      </c>
      <c r="BH342" t="s">
        <v>1126</v>
      </c>
      <c r="BI342" t="s">
        <v>1113</v>
      </c>
      <c r="BJ342" t="s">
        <v>1114</v>
      </c>
      <c r="BK342" t="s">
        <v>1115</v>
      </c>
      <c r="BL342" t="s">
        <v>1116</v>
      </c>
      <c r="BM342" t="s">
        <v>1117</v>
      </c>
      <c r="BN342" s="13"/>
      <c r="BO342" t="s">
        <v>973</v>
      </c>
      <c r="BP342" t="s">
        <v>973</v>
      </c>
      <c r="BQ342" t="s">
        <v>973</v>
      </c>
      <c r="BR342" t="s">
        <v>973</v>
      </c>
    </row>
    <row r="343" spans="1:70" x14ac:dyDescent="0.25">
      <c r="A343" t="s">
        <v>302</v>
      </c>
      <c r="B343" t="s">
        <v>303</v>
      </c>
      <c r="C343" t="s">
        <v>29</v>
      </c>
      <c r="D343" s="6"/>
      <c r="E343" s="9" t="str">
        <f>HYPERLINK("http://plants.ensembl.org/Triticum_aestivum/Gene/Summary?g=TRIAE_CS42_3AS_TGACv1_210882_AA0680680","TRIAE_CS42_3AS_TGACv1_210882_AA0680680")</f>
        <v>TRIAE_CS42_3AS_TGACv1_210882_AA0680680</v>
      </c>
      <c r="F343" s="9" t="str">
        <f>HYPERLINK("http://mar2016-plants.ensembl.org/Triticum_aestivum/Gene/Summary?db=core;g=Traes_3AS_18CE7EE6C","Traes_3AS_18CE7EE6C")</f>
        <v>Traes_3AS_18CE7EE6C</v>
      </c>
      <c r="H343" s="8" t="str">
        <f>HYPERLINK("http://plants.ensembl.org/Brachypodium_distachyon/Gene/Summary?g=Bradi2g07357","Bradi2g07357")</f>
        <v>Bradi2g07357</v>
      </c>
      <c r="I343" s="8" t="str">
        <f>HYPERLINK("http://plants.ensembl.org/Arabidopsis_thaliana/Gene/Summary?g=AT4G27950","AT4G27950")</f>
        <v>AT4G27950</v>
      </c>
      <c r="J343" s="9" t="str">
        <f>HYPERLINK("http://plants.ensembl.org/Oryza_sativa/Gene/Summary?db=otherfeatures;g=LOC_Os01g12440","LOC_Os01g12440")</f>
        <v>LOC_Os01g12440</v>
      </c>
      <c r="L343" s="6"/>
      <c r="M343" s="1" t="s">
        <v>973</v>
      </c>
      <c r="N343" s="1" t="s">
        <v>973</v>
      </c>
      <c r="O343" s="1">
        <v>1</v>
      </c>
      <c r="P343" s="1" t="s">
        <v>973</v>
      </c>
      <c r="Q343" s="1" t="s">
        <v>973</v>
      </c>
      <c r="R343" s="1" t="s">
        <v>973</v>
      </c>
      <c r="S343" s="1"/>
      <c r="T343" s="6"/>
      <c r="U343" s="11">
        <v>5.5768355141635002</v>
      </c>
      <c r="V343" s="11">
        <v>7.2165240621446527</v>
      </c>
      <c r="W343" s="11">
        <v>4.2836748834491578</v>
      </c>
      <c r="X343" s="11">
        <v>4.8848958062720751</v>
      </c>
      <c r="Y343" s="11">
        <v>4.0176844077842162</v>
      </c>
      <c r="Z343" s="11">
        <v>5.2497284921349792</v>
      </c>
      <c r="AA343" s="11">
        <v>3.3445160685748405</v>
      </c>
      <c r="AB343" s="11">
        <v>4.2633073900044343</v>
      </c>
      <c r="AC343" s="11">
        <v>2.1279963838096516</v>
      </c>
      <c r="AD343" s="11">
        <v>3.6503548184281027</v>
      </c>
      <c r="AE343" s="11">
        <v>3.5718426274575674</v>
      </c>
      <c r="AF343" s="11">
        <v>4.665100897471957</v>
      </c>
      <c r="AG343" s="11">
        <v>2.5870689000081057</v>
      </c>
      <c r="AH343" s="11">
        <v>4.819591551058914</v>
      </c>
      <c r="AI343" s="11">
        <v>2.3127232518998562</v>
      </c>
      <c r="AJ343" s="11">
        <v>3.3197527952215284</v>
      </c>
      <c r="AK343" s="6"/>
      <c r="AL343" t="s">
        <v>1077</v>
      </c>
      <c r="AM343">
        <v>0</v>
      </c>
      <c r="AN343" s="6"/>
      <c r="AO343" s="20">
        <v>3.8275000000000001</v>
      </c>
      <c r="AP343" s="20">
        <v>3.4584999999999999</v>
      </c>
      <c r="AQ343" s="20">
        <v>0.74480000000000002</v>
      </c>
      <c r="AR343" s="20">
        <v>0.20680000000000001</v>
      </c>
      <c r="AS343" s="20">
        <v>1.5605</v>
      </c>
      <c r="AT343" s="20">
        <v>0.44669999999999999</v>
      </c>
      <c r="AU343" s="20">
        <v>1.1846000000000001</v>
      </c>
      <c r="AV343" s="20">
        <v>0.99429999999999996</v>
      </c>
      <c r="AW343" s="6"/>
      <c r="AX343" s="18">
        <v>2.8920000000000002E-7</v>
      </c>
      <c r="AY343" s="18">
        <v>6.8230000000000001E-7</v>
      </c>
      <c r="AZ343" s="18">
        <v>0.255</v>
      </c>
      <c r="BA343" s="18">
        <v>0.74319999999999997</v>
      </c>
      <c r="BB343" s="18">
        <v>2.1329999999999998E-2</v>
      </c>
      <c r="BC343" s="18">
        <v>0.47470000000000001</v>
      </c>
      <c r="BD343" s="18">
        <v>9.9900000000000003E-2</v>
      </c>
      <c r="BE343" s="18">
        <v>0.1351</v>
      </c>
      <c r="BF343" s="13"/>
      <c r="BG343" t="s">
        <v>1125</v>
      </c>
      <c r="BH343" t="s">
        <v>1126</v>
      </c>
      <c r="BI343" t="s">
        <v>1113</v>
      </c>
      <c r="BJ343" t="s">
        <v>1114</v>
      </c>
      <c r="BK343" t="s">
        <v>1115</v>
      </c>
      <c r="BL343" t="s">
        <v>1116</v>
      </c>
      <c r="BM343" t="s">
        <v>1117</v>
      </c>
      <c r="BN343" s="13"/>
      <c r="BO343" t="s">
        <v>973</v>
      </c>
      <c r="BP343">
        <v>1</v>
      </c>
      <c r="BQ343" t="s">
        <v>973</v>
      </c>
      <c r="BR343" t="s">
        <v>973</v>
      </c>
    </row>
    <row r="344" spans="1:70" x14ac:dyDescent="0.25">
      <c r="A344" t="s">
        <v>372</v>
      </c>
      <c r="B344" t="s">
        <v>303</v>
      </c>
      <c r="C344" t="s">
        <v>29</v>
      </c>
      <c r="D344" s="6"/>
      <c r="E344" s="9" t="str">
        <f>HYPERLINK("http://plants.ensembl.org/Triticum_aestivum/Gene/Summary?g=TRIAE_CS42_3B_TGACv1_223276_AA0779470","TRIAE_CS42_3B_TGACv1_223276_AA0779470")</f>
        <v>TRIAE_CS42_3B_TGACv1_223276_AA0779470</v>
      </c>
      <c r="F344" s="9" t="str">
        <f>HYPERLINK("http://mar2016-plants.ensembl.org/Triticum_aestivum/Gene/Summary?db=core;g=TRAES3BF017100030CFD","TRAES3BF017100030CFD")</f>
        <v>TRAES3BF017100030CFD</v>
      </c>
      <c r="H344" s="8" t="str">
        <f>HYPERLINK("http://plants.ensembl.org/Brachypodium_distachyon/Gene/Summary?g=Bradi2g07357","Bradi2g07357")</f>
        <v>Bradi2g07357</v>
      </c>
      <c r="I344" s="8" t="str">
        <f>HYPERLINK("http://plants.ensembl.org/Arabidopsis_thaliana/Gene/Summary?g=AT4G27950","AT4G27950")</f>
        <v>AT4G27950</v>
      </c>
      <c r="J344" s="9" t="str">
        <f>HYPERLINK("http://plants.ensembl.org/Oryza_sativa/Gene/Summary?db=otherfeatures;g=LOC_Os01g12440","LOC_Os01g12440")</f>
        <v>LOC_Os01g12440</v>
      </c>
      <c r="L344" s="6"/>
      <c r="M344" s="1" t="s">
        <v>973</v>
      </c>
      <c r="N344" s="1" t="s">
        <v>973</v>
      </c>
      <c r="O344" s="1">
        <v>1</v>
      </c>
      <c r="P344" s="1" t="s">
        <v>973</v>
      </c>
      <c r="Q344" s="1" t="s">
        <v>973</v>
      </c>
      <c r="R344" s="1" t="s">
        <v>973</v>
      </c>
      <c r="S344" s="1"/>
      <c r="T344" s="6"/>
      <c r="U344" s="11">
        <v>7.5935024254553749</v>
      </c>
      <c r="V344" s="11">
        <v>8.6090527508205721</v>
      </c>
      <c r="W344" s="11">
        <v>5.6198189193447865</v>
      </c>
      <c r="X344" s="11">
        <v>6.3965163045890421</v>
      </c>
      <c r="Y344" s="11">
        <v>5.3826130757395365</v>
      </c>
      <c r="Z344" s="11">
        <v>6.1403362650776474</v>
      </c>
      <c r="AA344" s="11">
        <v>4.9509442570592963</v>
      </c>
      <c r="AB344" s="11">
        <v>5.4298067488423118</v>
      </c>
      <c r="AC344" s="11">
        <v>2.648266013661527</v>
      </c>
      <c r="AD344" s="11">
        <v>4.5141180509886638</v>
      </c>
      <c r="AE344" s="11">
        <v>3.6250834179220335</v>
      </c>
      <c r="AF344" s="11">
        <v>4.7580455046238441</v>
      </c>
      <c r="AG344" s="11">
        <v>3.3239416531533701</v>
      </c>
      <c r="AH344" s="11">
        <v>5.207951401388339</v>
      </c>
      <c r="AI344" s="11">
        <v>2.37525263317298</v>
      </c>
      <c r="AJ344" s="11">
        <v>3.4973313352302746</v>
      </c>
      <c r="AK344" s="6"/>
      <c r="AL344" t="s">
        <v>1077</v>
      </c>
      <c r="AM344">
        <v>0</v>
      </c>
      <c r="AN344" s="6"/>
      <c r="AO344" s="20">
        <v>5.1497000000000002</v>
      </c>
      <c r="AP344" s="20">
        <v>4.2584</v>
      </c>
      <c r="AQ344" s="20">
        <v>2.0424000000000002</v>
      </c>
      <c r="AR344" s="20">
        <v>1.6296999999999999</v>
      </c>
      <c r="AS344" s="20">
        <v>2.1177999999999999</v>
      </c>
      <c r="AT344" s="20">
        <v>0.93779999999999997</v>
      </c>
      <c r="AU344" s="20">
        <v>2.774</v>
      </c>
      <c r="AV344" s="20">
        <v>1.9903</v>
      </c>
      <c r="AW344" s="6"/>
      <c r="AX344" s="18">
        <v>6.7529999999999999E-15</v>
      </c>
      <c r="AY344" s="18">
        <v>1.9010000000000001E-11</v>
      </c>
      <c r="AZ344" s="18">
        <v>8.2790000000000001E-4</v>
      </c>
      <c r="BA344" s="18">
        <v>5.6699999999999997E-3</v>
      </c>
      <c r="BB344" s="18">
        <v>5.0180000000000005E-4</v>
      </c>
      <c r="BC344" s="18">
        <v>0.10879999999999999</v>
      </c>
      <c r="BD344" s="18">
        <v>3.1690000000000003E-5</v>
      </c>
      <c r="BE344" s="18">
        <v>1.2459999999999999E-3</v>
      </c>
      <c r="BF344" s="13"/>
      <c r="BG344" t="s">
        <v>1191</v>
      </c>
      <c r="BH344" t="s">
        <v>1132</v>
      </c>
      <c r="BI344" t="s">
        <v>1113</v>
      </c>
      <c r="BJ344" t="s">
        <v>1114</v>
      </c>
      <c r="BK344" t="s">
        <v>1115</v>
      </c>
      <c r="BL344" t="s">
        <v>1116</v>
      </c>
      <c r="BM344" t="s">
        <v>1117</v>
      </c>
      <c r="BN344" s="13"/>
      <c r="BO344" t="s">
        <v>973</v>
      </c>
      <c r="BP344" t="s">
        <v>973</v>
      </c>
      <c r="BQ344">
        <v>1</v>
      </c>
      <c r="BR344" t="s">
        <v>973</v>
      </c>
    </row>
    <row r="345" spans="1:70" x14ac:dyDescent="0.25">
      <c r="A345" t="s">
        <v>418</v>
      </c>
      <c r="B345" t="s">
        <v>303</v>
      </c>
      <c r="C345" t="s">
        <v>29</v>
      </c>
      <c r="D345" s="6"/>
      <c r="E345" s="9" t="str">
        <f>HYPERLINK("http://plants.ensembl.org/Triticum_aestivum/Gene/Summary?g=TRIAE_CS42_3DS_TGACv1_271642_AA0904520","TRIAE_CS42_3DS_TGACv1_271642_AA0904520")</f>
        <v>TRIAE_CS42_3DS_TGACv1_271642_AA0904520</v>
      </c>
      <c r="H345" s="8" t="str">
        <f>HYPERLINK("http://plants.ensembl.org/Brachypodium_distachyon/Gene/Summary?g=Bradi2g07357","Bradi2g07357")</f>
        <v>Bradi2g07357</v>
      </c>
      <c r="I345" s="8" t="str">
        <f>HYPERLINK("http://plants.ensembl.org/Arabidopsis_thaliana/Gene/Summary?g=AT4G27950","AT4G27950")</f>
        <v>AT4G27950</v>
      </c>
      <c r="J345" s="9" t="str">
        <f>HYPERLINK("http://plants.ensembl.org/Oryza_sativa/Gene/Summary?db=otherfeatures;g=LOC_Os01g12440","LOC_Os01g12440")</f>
        <v>LOC_Os01g12440</v>
      </c>
      <c r="L345" s="6"/>
      <c r="M345" s="1" t="s">
        <v>973</v>
      </c>
      <c r="N345" s="1" t="s">
        <v>973</v>
      </c>
      <c r="O345" s="1">
        <v>1</v>
      </c>
      <c r="P345" s="1" t="s">
        <v>973</v>
      </c>
      <c r="Q345" s="1" t="s">
        <v>973</v>
      </c>
      <c r="R345" s="1" t="s">
        <v>973</v>
      </c>
      <c r="S345" s="1"/>
      <c r="T345" s="6"/>
      <c r="U345" s="11">
        <v>8.2119950127277974</v>
      </c>
      <c r="V345" s="11">
        <v>8.8418196860867369</v>
      </c>
      <c r="W345" s="11">
        <v>6.2523891653760062</v>
      </c>
      <c r="X345" s="11">
        <v>6.8628328028957251</v>
      </c>
      <c r="Y345" s="11">
        <v>6.2014247597791998</v>
      </c>
      <c r="Z345" s="11">
        <v>6.28145778088569</v>
      </c>
      <c r="AA345" s="11">
        <v>5.0002148854447084</v>
      </c>
      <c r="AB345" s="11">
        <v>5.4924567646064952</v>
      </c>
      <c r="AC345" s="11">
        <v>2.8432267998683942</v>
      </c>
      <c r="AD345" s="11">
        <v>5.0140368412296059</v>
      </c>
      <c r="AE345" s="11">
        <v>3.5179643264651013</v>
      </c>
      <c r="AF345" s="11">
        <v>4.9493792940891002</v>
      </c>
      <c r="AG345" s="11">
        <v>3.3590525651547289</v>
      </c>
      <c r="AH345" s="11">
        <v>5.3425500047523888</v>
      </c>
      <c r="AI345" s="11">
        <v>3.1539998436461305</v>
      </c>
      <c r="AJ345" s="11">
        <v>3.8228422965568196</v>
      </c>
      <c r="AK345" s="6"/>
      <c r="AL345" t="s">
        <v>1077</v>
      </c>
      <c r="AM345">
        <v>2</v>
      </c>
      <c r="AN345" s="6"/>
      <c r="AO345" s="20">
        <v>5.6135999999999999</v>
      </c>
      <c r="AP345" s="20">
        <v>3.9062000000000001</v>
      </c>
      <c r="AQ345" s="20">
        <v>2.8123999999999998</v>
      </c>
      <c r="AR345" s="20">
        <v>1.9047000000000001</v>
      </c>
      <c r="AS345" s="20">
        <v>2.9298999999999999</v>
      </c>
      <c r="AT345" s="20">
        <v>0.94889999999999997</v>
      </c>
      <c r="AU345" s="20">
        <v>1.9500999999999999</v>
      </c>
      <c r="AV345" s="20">
        <v>1.7135</v>
      </c>
      <c r="AW345" s="6"/>
      <c r="AX345" s="18">
        <v>1.2160000000000001E-20</v>
      </c>
      <c r="AY345" s="18">
        <v>4.1129999999999999E-12</v>
      </c>
      <c r="AZ345" s="18">
        <v>5.0220000000000004E-7</v>
      </c>
      <c r="BA345" s="18">
        <v>3.3E-4</v>
      </c>
      <c r="BB345" s="18">
        <v>1.02E-7</v>
      </c>
      <c r="BC345" s="18">
        <v>7.2319999999999995E-2</v>
      </c>
      <c r="BD345" s="18">
        <v>7.2670000000000005E-4</v>
      </c>
      <c r="BE345" s="18">
        <v>2.0470000000000002E-3</v>
      </c>
      <c r="BF345" s="13"/>
      <c r="BG345" t="s">
        <v>1299</v>
      </c>
      <c r="BH345" t="s">
        <v>1132</v>
      </c>
      <c r="BI345" t="s">
        <v>1113</v>
      </c>
      <c r="BJ345" t="s">
        <v>1114</v>
      </c>
      <c r="BK345" t="s">
        <v>1115</v>
      </c>
      <c r="BL345" t="s">
        <v>1326</v>
      </c>
      <c r="BM345" t="s">
        <v>1117</v>
      </c>
      <c r="BN345" s="13"/>
      <c r="BO345" t="s">
        <v>973</v>
      </c>
      <c r="BP345" t="s">
        <v>973</v>
      </c>
      <c r="BQ345" t="s">
        <v>973</v>
      </c>
      <c r="BR345" t="s">
        <v>973</v>
      </c>
    </row>
    <row r="346" spans="1:70" x14ac:dyDescent="0.25">
      <c r="A346" t="s">
        <v>658</v>
      </c>
      <c r="B346" t="s">
        <v>659</v>
      </c>
      <c r="C346" t="s">
        <v>29</v>
      </c>
      <c r="D346" s="6"/>
      <c r="E346" s="9" t="str">
        <f>HYPERLINK("http://plants.ensembl.org/Triticum_aestivum/Gene/Summary?g=TRIAE_CS42_5AL_TGACv1_374612_AA1204340","TRIAE_CS42_5AL_TGACv1_374612_AA1204340")</f>
        <v>TRIAE_CS42_5AL_TGACv1_374612_AA1204340</v>
      </c>
      <c r="H346" s="8" t="str">
        <f>HYPERLINK("http://plants.ensembl.org/Brachypodium_distachyon/Gene/Summary?g=Bradi1g04110","Bradi1g04110")</f>
        <v>Bradi1g04110</v>
      </c>
      <c r="I346" s="1" t="s">
        <v>1051</v>
      </c>
      <c r="J346" s="9" t="str">
        <f>HYPERLINK("http://plants.ensembl.org/Oryza_sativa/Gene/Summary?db=otherfeatures;g=LOC_Os03g60120","LOC_Os03g60120")</f>
        <v>LOC_Os03g60120</v>
      </c>
      <c r="L346" s="6"/>
      <c r="M346" s="1" t="s">
        <v>973</v>
      </c>
      <c r="N346" s="1" t="s">
        <v>973</v>
      </c>
      <c r="O346" s="1">
        <v>1</v>
      </c>
      <c r="P346" s="1" t="s">
        <v>973</v>
      </c>
      <c r="Q346" s="1" t="s">
        <v>973</v>
      </c>
      <c r="R346" s="1" t="s">
        <v>973</v>
      </c>
      <c r="S346" s="1"/>
      <c r="T346" s="6"/>
      <c r="U346" s="11">
        <v>8.7551873645507765</v>
      </c>
      <c r="V346" s="11">
        <v>10.983478074446438</v>
      </c>
      <c r="W346" s="11">
        <v>8.0355454683861964</v>
      </c>
      <c r="X346" s="11">
        <v>8.4615499773196561</v>
      </c>
      <c r="Y346" s="11">
        <v>8.2941452856892557</v>
      </c>
      <c r="Z346" s="11">
        <v>8.422489380383908</v>
      </c>
      <c r="AA346" s="11">
        <v>8.5956962228133449</v>
      </c>
      <c r="AB346" s="11">
        <v>8.1677299015430833</v>
      </c>
      <c r="AC346" s="11">
        <v>6.5412881873671882</v>
      </c>
      <c r="AD346" s="11">
        <v>8.0677462611016768</v>
      </c>
      <c r="AE346" s="11">
        <v>7.7781890792032593</v>
      </c>
      <c r="AF346" s="11">
        <v>7.3211752926013594</v>
      </c>
      <c r="AG346" s="11">
        <v>7.526338300381175</v>
      </c>
      <c r="AH346" s="11">
        <v>7.3486384624262255</v>
      </c>
      <c r="AI346" s="11">
        <v>7.1795229930618207</v>
      </c>
      <c r="AJ346" s="11">
        <v>7.1120543891736148</v>
      </c>
      <c r="AK346" s="6"/>
      <c r="AL346" t="s">
        <v>1077</v>
      </c>
      <c r="AM346">
        <v>0</v>
      </c>
      <c r="AN346" s="6"/>
      <c r="AO346" s="20">
        <v>2.2343000000000002</v>
      </c>
      <c r="AP346" s="20">
        <v>2.9361000000000002</v>
      </c>
      <c r="AQ346" s="20">
        <v>0.25669999999999998</v>
      </c>
      <c r="AR346" s="20">
        <v>1.1318999999999999</v>
      </c>
      <c r="AS346" s="20">
        <v>0.76400000000000001</v>
      </c>
      <c r="AT346" s="20">
        <v>1.0713999999999999</v>
      </c>
      <c r="AU346" s="20">
        <v>1.4118999999999999</v>
      </c>
      <c r="AV346" s="20">
        <v>1.0522</v>
      </c>
      <c r="AW346" s="6"/>
      <c r="AX346" s="18">
        <v>2.8060000000000001E-8</v>
      </c>
      <c r="AY346" s="18">
        <v>2.513E-13</v>
      </c>
      <c r="AZ346" s="18">
        <v>0.51519999999999999</v>
      </c>
      <c r="BA346" s="18">
        <v>4.2500000000000003E-3</v>
      </c>
      <c r="BB346" s="18">
        <v>5.2470000000000003E-2</v>
      </c>
      <c r="BC346" s="18">
        <v>6.7759999999999999E-3</v>
      </c>
      <c r="BD346" s="18">
        <v>3.5090000000000002E-4</v>
      </c>
      <c r="BE346" s="18">
        <v>7.9690000000000004E-3</v>
      </c>
      <c r="BF346" s="13"/>
      <c r="BG346" t="s">
        <v>1327</v>
      </c>
      <c r="BH346" t="s">
        <v>1126</v>
      </c>
      <c r="BI346" t="s">
        <v>1137</v>
      </c>
      <c r="BJ346" t="s">
        <v>1127</v>
      </c>
      <c r="BK346" t="s">
        <v>1151</v>
      </c>
      <c r="BL346" t="s">
        <v>1116</v>
      </c>
      <c r="BM346" t="s">
        <v>1117</v>
      </c>
      <c r="BN346" s="13"/>
      <c r="BO346" t="s">
        <v>973</v>
      </c>
      <c r="BP346" t="s">
        <v>973</v>
      </c>
      <c r="BQ346" t="s">
        <v>973</v>
      </c>
      <c r="BR346" t="s">
        <v>973</v>
      </c>
    </row>
    <row r="347" spans="1:70" x14ac:dyDescent="0.25">
      <c r="A347" t="s">
        <v>709</v>
      </c>
      <c r="B347" t="s">
        <v>659</v>
      </c>
      <c r="C347" t="s">
        <v>29</v>
      </c>
      <c r="D347" s="6"/>
      <c r="E347" s="9" t="str">
        <f>HYPERLINK("http://plants.ensembl.org/Triticum_aestivum/Gene/Summary?g=TRIAE_CS42_5BL_TGACv1_404922_AA1315150","TRIAE_CS42_5BL_TGACv1_404922_AA1315150")</f>
        <v>TRIAE_CS42_5BL_TGACv1_404922_AA1315150</v>
      </c>
      <c r="H347" s="8" t="str">
        <f>HYPERLINK("http://plants.ensembl.org/Brachypodium_distachyon/Gene/Summary?g=Bradi1g04110","Bradi1g04110")</f>
        <v>Bradi1g04110</v>
      </c>
      <c r="I347" s="1" t="s">
        <v>1051</v>
      </c>
      <c r="J347" s="9" t="str">
        <f>HYPERLINK("http://plants.ensembl.org/Oryza_sativa/Gene/Summary?db=otherfeatures;g=LOC_Os03g60120","LOC_Os03g60120")</f>
        <v>LOC_Os03g60120</v>
      </c>
      <c r="L347" s="6"/>
      <c r="M347" s="1" t="s">
        <v>973</v>
      </c>
      <c r="N347" s="1" t="s">
        <v>973</v>
      </c>
      <c r="O347" s="1">
        <v>1</v>
      </c>
      <c r="P347" s="1" t="s">
        <v>973</v>
      </c>
      <c r="Q347" s="1" t="s">
        <v>973</v>
      </c>
      <c r="R347" s="1" t="s">
        <v>973</v>
      </c>
      <c r="S347" s="1"/>
      <c r="T347" s="6"/>
      <c r="U347" s="11">
        <v>8.6573060623013376</v>
      </c>
      <c r="V347" s="11">
        <v>10.34812697981679</v>
      </c>
      <c r="W347" s="11">
        <v>7.8707530852013869</v>
      </c>
      <c r="X347" s="11">
        <v>8.0476916059031858</v>
      </c>
      <c r="Y347" s="11">
        <v>8.1735024201431461</v>
      </c>
      <c r="Z347" s="11">
        <v>8.0583213666267817</v>
      </c>
      <c r="AA347" s="11">
        <v>8.077311371484825</v>
      </c>
      <c r="AB347" s="11">
        <v>7.768337409981628</v>
      </c>
      <c r="AC347" s="11">
        <v>5.9706696253790907</v>
      </c>
      <c r="AD347" s="11">
        <v>7.0309576688985045</v>
      </c>
      <c r="AE347" s="11">
        <v>7.1174062254402752</v>
      </c>
      <c r="AF347" s="11">
        <v>6.5975768598369866</v>
      </c>
      <c r="AG347" s="11">
        <v>7.1429936805174323</v>
      </c>
      <c r="AH347" s="11">
        <v>6.683530843619705</v>
      </c>
      <c r="AI347" s="11">
        <v>6.5131611957309135</v>
      </c>
      <c r="AJ347" s="11">
        <v>5.9352577877954991</v>
      </c>
      <c r="AK347" s="6"/>
      <c r="AL347" t="s">
        <v>1077</v>
      </c>
      <c r="AM347">
        <v>31</v>
      </c>
      <c r="AN347" s="6"/>
      <c r="AO347" s="20">
        <v>2.7046000000000001</v>
      </c>
      <c r="AP347" s="20">
        <v>3.3163999999999998</v>
      </c>
      <c r="AQ347" s="20">
        <v>0.74980000000000002</v>
      </c>
      <c r="AR347" s="20">
        <v>1.4351</v>
      </c>
      <c r="AS347" s="20">
        <v>1.024</v>
      </c>
      <c r="AT347" s="20">
        <v>1.3702000000000001</v>
      </c>
      <c r="AU347" s="20">
        <v>1.5599000000000001</v>
      </c>
      <c r="AV347" s="20">
        <v>1.8295999999999999</v>
      </c>
      <c r="AW347" s="6"/>
      <c r="AX347" s="18">
        <v>4.5209999999999996E-9</v>
      </c>
      <c r="AY347" s="18">
        <v>1.017E-12</v>
      </c>
      <c r="AZ347" s="18">
        <v>9.7390000000000004E-2</v>
      </c>
      <c r="BA347" s="18">
        <v>1.6069999999999999E-3</v>
      </c>
      <c r="BB347" s="18">
        <v>2.3120000000000002E-2</v>
      </c>
      <c r="BC347" s="18">
        <v>2.5630000000000002E-3</v>
      </c>
      <c r="BD347" s="18">
        <v>5.8609999999999999E-4</v>
      </c>
      <c r="BE347" s="18">
        <v>6.5140000000000003E-5</v>
      </c>
      <c r="BF347" s="13"/>
      <c r="BG347" t="s">
        <v>1327</v>
      </c>
      <c r="BH347" t="s">
        <v>1126</v>
      </c>
      <c r="BI347" t="s">
        <v>1172</v>
      </c>
      <c r="BJ347" t="s">
        <v>1127</v>
      </c>
      <c r="BK347" t="s">
        <v>1115</v>
      </c>
      <c r="BL347" t="s">
        <v>1116</v>
      </c>
      <c r="BM347" t="s">
        <v>1117</v>
      </c>
      <c r="BN347" s="13"/>
      <c r="BO347" t="s">
        <v>973</v>
      </c>
      <c r="BP347" t="s">
        <v>973</v>
      </c>
      <c r="BQ347" t="s">
        <v>973</v>
      </c>
      <c r="BR347" t="s">
        <v>973</v>
      </c>
    </row>
    <row r="348" spans="1:70" x14ac:dyDescent="0.25">
      <c r="A348" t="s">
        <v>751</v>
      </c>
      <c r="B348" t="s">
        <v>659</v>
      </c>
      <c r="C348" t="s">
        <v>29</v>
      </c>
      <c r="D348" s="6"/>
      <c r="E348" s="9" t="str">
        <f>HYPERLINK("http://plants.ensembl.org/Triticum_aestivum/Gene/Summary?g=TRIAE_CS42_5DL_TGACv1_433211_AA1405660","TRIAE_CS42_5DL_TGACv1_433211_AA1405660")</f>
        <v>TRIAE_CS42_5DL_TGACv1_433211_AA1405660</v>
      </c>
      <c r="F348" s="9" t="str">
        <f>HYPERLINK("http://mar2016-plants.ensembl.org/Triticum_aestivum/Gene/Summary?db=core;g=Traes_5DL_08E7641941","Traes_5DL_08E7641941")</f>
        <v>Traes_5DL_08E7641941</v>
      </c>
      <c r="H348" s="8" t="str">
        <f>HYPERLINK("http://plants.ensembl.org/Brachypodium_distachyon/Gene/Summary?g=Bradi1g04110","Bradi1g04110")</f>
        <v>Bradi1g04110</v>
      </c>
      <c r="I348" s="1" t="s">
        <v>1051</v>
      </c>
      <c r="J348" s="9" t="str">
        <f>HYPERLINK("http://plants.ensembl.org/Oryza_sativa/Gene/Summary?db=otherfeatures;g=LOC_Os03g60120","LOC_Os03g60120")</f>
        <v>LOC_Os03g60120</v>
      </c>
      <c r="L348" s="6"/>
      <c r="M348" s="1" t="s">
        <v>973</v>
      </c>
      <c r="N348" s="1" t="s">
        <v>973</v>
      </c>
      <c r="O348" s="1">
        <v>1</v>
      </c>
      <c r="P348" s="1" t="s">
        <v>973</v>
      </c>
      <c r="Q348" s="1" t="s">
        <v>973</v>
      </c>
      <c r="R348" s="1" t="s">
        <v>973</v>
      </c>
      <c r="S348" s="1"/>
      <c r="T348" s="6"/>
      <c r="U348" s="11">
        <v>7.7057841935111471</v>
      </c>
      <c r="V348" s="11">
        <v>9.7990581025180941</v>
      </c>
      <c r="W348" s="11">
        <v>7.1311387775034527</v>
      </c>
      <c r="X348" s="11">
        <v>7.2144891253509673</v>
      </c>
      <c r="Y348" s="11">
        <v>7.5534810813039073</v>
      </c>
      <c r="Z348" s="11">
        <v>7.5970332562239893</v>
      </c>
      <c r="AA348" s="11">
        <v>7.6081101447278572</v>
      </c>
      <c r="AB348" s="11">
        <v>7.2291158550674046</v>
      </c>
      <c r="AC348" s="11">
        <v>5.5366456100534203</v>
      </c>
      <c r="AD348" s="11">
        <v>6.6781573747479834</v>
      </c>
      <c r="AE348" s="11">
        <v>6.5537577837207683</v>
      </c>
      <c r="AF348" s="11">
        <v>6.1595013675390522</v>
      </c>
      <c r="AG348" s="11">
        <v>6.6434112902115761</v>
      </c>
      <c r="AH348" s="11">
        <v>6.0818189405197343</v>
      </c>
      <c r="AI348" s="11">
        <v>6.5731861582567914</v>
      </c>
      <c r="AJ348" s="11">
        <v>5.9197365386626037</v>
      </c>
      <c r="AK348" s="6"/>
      <c r="AL348" t="s">
        <v>1077</v>
      </c>
      <c r="AM348">
        <v>1</v>
      </c>
      <c r="AN348" s="6"/>
      <c r="AO348" s="20">
        <v>2.2366000000000001</v>
      </c>
      <c r="AP348" s="20">
        <v>3.2128000000000001</v>
      </c>
      <c r="AQ348" s="20">
        <v>0.57820000000000005</v>
      </c>
      <c r="AR348" s="20">
        <v>1.0499000000000001</v>
      </c>
      <c r="AS348" s="20">
        <v>0.91</v>
      </c>
      <c r="AT348" s="20">
        <v>1.5181</v>
      </c>
      <c r="AU348" s="20">
        <v>1.0354000000000001</v>
      </c>
      <c r="AV348" s="20">
        <v>1.3122</v>
      </c>
      <c r="AW348" s="6"/>
      <c r="AX348" s="18">
        <v>5.9149999999999997E-8</v>
      </c>
      <c r="AY348" s="18">
        <v>8.6370000000000005E-15</v>
      </c>
      <c r="AZ348" s="18">
        <v>0.1457</v>
      </c>
      <c r="BA348" s="18">
        <v>8.8819999999999993E-3</v>
      </c>
      <c r="BB348" s="18">
        <v>2.104E-2</v>
      </c>
      <c r="BC348" s="18">
        <v>1.5009999999999999E-4</v>
      </c>
      <c r="BD348" s="18">
        <v>8.8280000000000008E-3</v>
      </c>
      <c r="BE348" s="18">
        <v>1.093E-3</v>
      </c>
      <c r="BF348" s="13"/>
      <c r="BG348" t="s">
        <v>1327</v>
      </c>
      <c r="BH348" t="s">
        <v>1126</v>
      </c>
      <c r="BI348" t="s">
        <v>1113</v>
      </c>
      <c r="BJ348" t="s">
        <v>1127</v>
      </c>
      <c r="BK348" t="s">
        <v>1115</v>
      </c>
      <c r="BL348" t="s">
        <v>1116</v>
      </c>
      <c r="BM348" t="s">
        <v>1117</v>
      </c>
      <c r="BN348" s="13"/>
      <c r="BO348" t="s">
        <v>973</v>
      </c>
      <c r="BP348" t="s">
        <v>973</v>
      </c>
      <c r="BQ348" t="s">
        <v>973</v>
      </c>
      <c r="BR348" t="s">
        <v>973</v>
      </c>
    </row>
    <row r="349" spans="1:70" x14ac:dyDescent="0.25">
      <c r="A349" t="s">
        <v>889</v>
      </c>
      <c r="B349" t="s">
        <v>890</v>
      </c>
      <c r="C349" t="s">
        <v>29</v>
      </c>
      <c r="D349" s="6"/>
      <c r="H349" s="1" t="s">
        <v>1051</v>
      </c>
      <c r="I349" s="1" t="s">
        <v>1051</v>
      </c>
      <c r="J349" s="1" t="s">
        <v>1051</v>
      </c>
      <c r="L349" s="6"/>
      <c r="M349" s="1" t="s">
        <v>973</v>
      </c>
      <c r="N349" s="1" t="s">
        <v>973</v>
      </c>
      <c r="O349" s="1">
        <v>1</v>
      </c>
      <c r="P349" s="1" t="s">
        <v>973</v>
      </c>
      <c r="Q349" s="1" t="s">
        <v>973</v>
      </c>
      <c r="R349" s="1" t="s">
        <v>973</v>
      </c>
      <c r="S349" s="1"/>
      <c r="T349" s="6"/>
      <c r="U349" s="11">
        <v>0</v>
      </c>
      <c r="V349" s="11">
        <v>6.9767069300299589</v>
      </c>
      <c r="W349" s="11">
        <v>0</v>
      </c>
      <c r="X349" s="11">
        <v>5.0293350859142114</v>
      </c>
      <c r="Y349" s="11">
        <v>0.40936377926957263</v>
      </c>
      <c r="Z349" s="11">
        <v>5.3174849728300311</v>
      </c>
      <c r="AA349" s="11">
        <v>0.76236299091264614</v>
      </c>
      <c r="AB349" s="11">
        <v>3.6529606229254381</v>
      </c>
      <c r="AC349" s="11">
        <v>0</v>
      </c>
      <c r="AD349" s="11">
        <v>6.6986773519486187</v>
      </c>
      <c r="AE349" s="11">
        <v>0.68876224387882412</v>
      </c>
      <c r="AF349" s="11">
        <v>3.0154916223813499</v>
      </c>
      <c r="AG349" s="11">
        <v>0</v>
      </c>
      <c r="AH349" s="11">
        <v>5.7353903935776138</v>
      </c>
      <c r="AI349" s="11">
        <v>0</v>
      </c>
      <c r="AJ349" s="11">
        <v>2.4362862348540917</v>
      </c>
      <c r="AK349" s="6"/>
      <c r="AL349" t="s">
        <v>1080</v>
      </c>
      <c r="AM349">
        <v>0</v>
      </c>
      <c r="AN349" s="6"/>
      <c r="AO349" s="20">
        <v>0</v>
      </c>
      <c r="AP349" s="20">
        <v>0.26840000000000003</v>
      </c>
      <c r="AQ349" s="20">
        <v>-1.6509</v>
      </c>
      <c r="AR349" s="20">
        <v>2.0173000000000001</v>
      </c>
      <c r="AS349" s="20">
        <v>1.4504999999999999</v>
      </c>
      <c r="AT349" s="20">
        <v>-0.40329999999999999</v>
      </c>
      <c r="AU349" s="20">
        <v>1.7198</v>
      </c>
      <c r="AV349" s="20">
        <v>1.3219000000000001</v>
      </c>
      <c r="AW349" s="6"/>
      <c r="AX349" s="18">
        <v>1</v>
      </c>
      <c r="AY349" s="18">
        <v>0.79710000000000003</v>
      </c>
      <c r="AZ349" s="18">
        <v>0.2918</v>
      </c>
      <c r="BA349" s="18">
        <v>5.7669999999999999E-2</v>
      </c>
      <c r="BB349" s="18">
        <v>0.37969999999999998</v>
      </c>
      <c r="BC349" s="18">
        <v>0.69589999999999996</v>
      </c>
      <c r="BD349" s="18">
        <v>0.25819999999999999</v>
      </c>
      <c r="BE349" s="18">
        <v>0.22489999999999999</v>
      </c>
      <c r="BF349" s="13"/>
      <c r="BG349" t="s">
        <v>1111</v>
      </c>
      <c r="BH349" t="s">
        <v>1155</v>
      </c>
      <c r="BI349" t="s">
        <v>1150</v>
      </c>
      <c r="BJ349" t="s">
        <v>1127</v>
      </c>
      <c r="BK349" t="s">
        <v>1151</v>
      </c>
      <c r="BL349" t="s">
        <v>1116</v>
      </c>
      <c r="BM349" t="s">
        <v>1117</v>
      </c>
      <c r="BN349" s="13"/>
      <c r="BO349" t="s">
        <v>973</v>
      </c>
      <c r="BP349" t="s">
        <v>973</v>
      </c>
      <c r="BQ349" t="s">
        <v>973</v>
      </c>
      <c r="BR349" t="s">
        <v>973</v>
      </c>
    </row>
    <row r="350" spans="1:70" x14ac:dyDescent="0.25">
      <c r="A350" t="s">
        <v>775</v>
      </c>
      <c r="B350" t="s">
        <v>776</v>
      </c>
      <c r="C350" t="s">
        <v>777</v>
      </c>
      <c r="D350" s="6"/>
      <c r="E350" s="9" t="str">
        <f>HYPERLINK("http://plants.ensembl.org/Triticum_aestivum/Gene/Summary?g=TRIAE_CS42_6AL_TGACv1_473917_AA1533450","TRIAE_CS42_6AL_TGACv1_473917_AA1533450")</f>
        <v>TRIAE_CS42_6AL_TGACv1_473917_AA1533450</v>
      </c>
      <c r="H350" s="8" t="str">
        <f>HYPERLINK("http://plants.ensembl.org/Brachypodium_distachyon/Gene/Summary?g=Bradi3g43822","Bradi3g43822")</f>
        <v>Bradi3g43822</v>
      </c>
      <c r="I350" s="8" t="str">
        <f>HYPERLINK("http://plants.ensembl.org/Arabidopsis_thaliana/Gene/Summary?g=AT4G13040","AT4G13040")</f>
        <v>AT4G13040</v>
      </c>
      <c r="J350" s="9" t="str">
        <f>HYPERLINK("http://plants.ensembl.org/Oryza_sativa/Gene/Summary?db=otherfeatures;g=LOC_Os02g29550","LOC_Os02g29550")</f>
        <v>LOC_Os02g29550</v>
      </c>
      <c r="L350" s="6"/>
      <c r="M350" s="1" t="s">
        <v>973</v>
      </c>
      <c r="N350" s="1" t="s">
        <v>973</v>
      </c>
      <c r="O350" s="1">
        <v>1</v>
      </c>
      <c r="P350" s="1" t="s">
        <v>973</v>
      </c>
      <c r="Q350" s="1" t="s">
        <v>973</v>
      </c>
      <c r="R350" s="1" t="s">
        <v>973</v>
      </c>
      <c r="S350" s="1"/>
      <c r="T350" s="6"/>
      <c r="U350" s="11">
        <v>8.3094063206089874</v>
      </c>
      <c r="V350" s="11">
        <v>8.1767444612504363</v>
      </c>
      <c r="W350" s="11">
        <v>7.3193267961136952</v>
      </c>
      <c r="X350" s="11">
        <v>7.5412414585334355</v>
      </c>
      <c r="Y350" s="11">
        <v>7.622684416031797</v>
      </c>
      <c r="Z350" s="11">
        <v>7.7051328577214901</v>
      </c>
      <c r="AA350" s="11">
        <v>7.160767950336365</v>
      </c>
      <c r="AB350" s="11">
        <v>7.293338600547103</v>
      </c>
      <c r="AC350" s="11">
        <v>7.6217918179887807</v>
      </c>
      <c r="AD350" s="11">
        <v>7.9719475669427275</v>
      </c>
      <c r="AE350" s="11">
        <v>7.1300515625581395</v>
      </c>
      <c r="AF350" s="11">
        <v>7.2299688613390858</v>
      </c>
      <c r="AG350" s="11">
        <v>7.2732028615390787</v>
      </c>
      <c r="AH350" s="11">
        <v>7.500355389938445</v>
      </c>
      <c r="AI350" s="11">
        <v>7.2867487222119331</v>
      </c>
      <c r="AJ350" s="11">
        <v>7.3876480230031651</v>
      </c>
      <c r="AK350" s="6"/>
      <c r="AL350" t="s">
        <v>1109</v>
      </c>
      <c r="AM350">
        <v>0</v>
      </c>
      <c r="AN350" s="6"/>
      <c r="AO350" s="20">
        <v>0.70450000000000002</v>
      </c>
      <c r="AP350" s="20">
        <v>0.30830000000000002</v>
      </c>
      <c r="AQ350" s="20">
        <v>0.19289999999999999</v>
      </c>
      <c r="AR350" s="20">
        <v>0.31040000000000001</v>
      </c>
      <c r="AS350" s="20">
        <v>0.3538</v>
      </c>
      <c r="AT350" s="20">
        <v>0.19819999999999999</v>
      </c>
      <c r="AU350" s="20">
        <v>-0.1216</v>
      </c>
      <c r="AV350" s="20">
        <v>-9.4500000000000001E-2</v>
      </c>
      <c r="AW350" s="6"/>
      <c r="AX350" s="18">
        <v>5.7410000000000002E-4</v>
      </c>
      <c r="AY350" s="18">
        <v>0.17230000000000001</v>
      </c>
      <c r="AZ350" s="18">
        <v>0.34089999999999998</v>
      </c>
      <c r="BA350" s="18">
        <v>0.12590000000000001</v>
      </c>
      <c r="BB350" s="18">
        <v>7.4870000000000006E-2</v>
      </c>
      <c r="BC350" s="18">
        <v>0.32090000000000002</v>
      </c>
      <c r="BD350" s="18">
        <v>0.54510000000000003</v>
      </c>
      <c r="BE350" s="18">
        <v>0.64139999999999997</v>
      </c>
      <c r="BF350" s="13"/>
      <c r="BG350" t="s">
        <v>1111</v>
      </c>
      <c r="BH350" t="s">
        <v>1307</v>
      </c>
      <c r="BI350" t="s">
        <v>1113</v>
      </c>
      <c r="BJ350" t="s">
        <v>1114</v>
      </c>
      <c r="BK350" t="s">
        <v>1115</v>
      </c>
      <c r="BL350" t="s">
        <v>1116</v>
      </c>
      <c r="BM350" t="s">
        <v>1117</v>
      </c>
      <c r="BN350" s="13"/>
      <c r="BO350" t="s">
        <v>973</v>
      </c>
      <c r="BP350" t="s">
        <v>973</v>
      </c>
      <c r="BQ350" t="s">
        <v>973</v>
      </c>
      <c r="BR350" t="s">
        <v>973</v>
      </c>
    </row>
    <row r="351" spans="1:70" x14ac:dyDescent="0.25">
      <c r="A351" t="s">
        <v>827</v>
      </c>
      <c r="B351" t="s">
        <v>776</v>
      </c>
      <c r="C351" t="s">
        <v>777</v>
      </c>
      <c r="D351" s="6"/>
      <c r="E351" s="9" t="str">
        <f>HYPERLINK("http://plants.ensembl.org/Triticum_aestivum/Gene/Summary?g=TRIAE_CS42_6DS_TGACv1_542507_AA1723010","TRIAE_CS42_6DS_TGACv1_542507_AA1723010")</f>
        <v>TRIAE_CS42_6DS_TGACv1_542507_AA1723010</v>
      </c>
      <c r="F351" s="9" t="str">
        <f>HYPERLINK("http://mar2016-plants.ensembl.org/Triticum_aestivum/Gene/Summary?db=core;g=Traes_6DS_43372C0A6","Traes_6DS_43372C0A6")</f>
        <v>Traes_6DS_43372C0A6</v>
      </c>
      <c r="H351" s="8" t="str">
        <f>HYPERLINK("http://plants.ensembl.org/Brachypodium_distachyon/Gene/Summary?g=Bradi3g43822","Bradi3g43822")</f>
        <v>Bradi3g43822</v>
      </c>
      <c r="I351" s="8" t="str">
        <f>HYPERLINK("http://plants.ensembl.org/Arabidopsis_thaliana/Gene/Summary?g=AT4G13040","AT4G13040")</f>
        <v>AT4G13040</v>
      </c>
      <c r="J351" s="9" t="str">
        <f>HYPERLINK("http://plants.ensembl.org/Oryza_sativa/Gene/Summary?db=otherfeatures;g=LOC_Os02g29550","LOC_Os02g29550")</f>
        <v>LOC_Os02g29550</v>
      </c>
      <c r="L351" s="6"/>
      <c r="M351" s="1" t="s">
        <v>973</v>
      </c>
      <c r="N351" s="1" t="s">
        <v>973</v>
      </c>
      <c r="O351" s="1">
        <v>1</v>
      </c>
      <c r="P351" s="1" t="s">
        <v>973</v>
      </c>
      <c r="Q351" s="1" t="s">
        <v>973</v>
      </c>
      <c r="R351" s="1" t="s">
        <v>973</v>
      </c>
      <c r="S351" s="1"/>
      <c r="T351" s="6"/>
      <c r="U351" s="11">
        <v>7.4351473932368775</v>
      </c>
      <c r="V351" s="11">
        <v>7.3426622964885038</v>
      </c>
      <c r="W351" s="11">
        <v>6.4407429522216759</v>
      </c>
      <c r="X351" s="11">
        <v>6.5912495519977279</v>
      </c>
      <c r="Y351" s="11">
        <v>7.1552901558786441</v>
      </c>
      <c r="Z351" s="11">
        <v>6.5023762209844174</v>
      </c>
      <c r="AA351" s="11">
        <v>6.9804526513434402</v>
      </c>
      <c r="AB351" s="11">
        <v>7.0393171839925532</v>
      </c>
      <c r="AC351" s="11">
        <v>6.9268150541429891</v>
      </c>
      <c r="AD351" s="11">
        <v>6.5779081360779594</v>
      </c>
      <c r="AE351" s="11">
        <v>5.8170382164471892</v>
      </c>
      <c r="AF351" s="11">
        <v>5.814043630976605</v>
      </c>
      <c r="AG351" s="11">
        <v>6.3112070041850812</v>
      </c>
      <c r="AH351" s="11">
        <v>5.9866665320774848</v>
      </c>
      <c r="AI351" s="11">
        <v>6.7327639442233087</v>
      </c>
      <c r="AJ351" s="11">
        <v>6.6400930655931321</v>
      </c>
      <c r="AK351" s="6"/>
      <c r="AL351" t="s">
        <v>1077</v>
      </c>
      <c r="AM351">
        <v>0</v>
      </c>
      <c r="AN351" s="6"/>
      <c r="AO351" s="20">
        <v>0.55269999999999997</v>
      </c>
      <c r="AP351" s="20">
        <v>0.93220000000000003</v>
      </c>
      <c r="AQ351" s="20">
        <v>0.62129999999999996</v>
      </c>
      <c r="AR351" s="20">
        <v>0.80049999999999999</v>
      </c>
      <c r="AS351" s="20">
        <v>0.85560000000000003</v>
      </c>
      <c r="AT351" s="20">
        <v>0.50790000000000002</v>
      </c>
      <c r="AU351" s="20">
        <v>0.2485</v>
      </c>
      <c r="AV351" s="20">
        <v>0.40150000000000002</v>
      </c>
      <c r="AW351" s="6"/>
      <c r="AX351" s="18">
        <v>6.2359999999999999E-2</v>
      </c>
      <c r="AY351" s="18">
        <v>4.4799999999999996E-3</v>
      </c>
      <c r="AZ351" s="18">
        <v>3.8120000000000001E-2</v>
      </c>
      <c r="BA351" s="18">
        <v>8.0409999999999995E-3</v>
      </c>
      <c r="BB351" s="18">
        <v>3.009E-3</v>
      </c>
      <c r="BC351" s="18">
        <v>9.0130000000000002E-2</v>
      </c>
      <c r="BD351" s="18">
        <v>0.38719999999999999</v>
      </c>
      <c r="BE351" s="18">
        <v>0.16669999999999999</v>
      </c>
      <c r="BF351" s="13"/>
      <c r="BG351" t="s">
        <v>1111</v>
      </c>
      <c r="BH351" t="s">
        <v>1376</v>
      </c>
      <c r="BI351" t="s">
        <v>1294</v>
      </c>
      <c r="BJ351" t="s">
        <v>1114</v>
      </c>
      <c r="BK351" t="s">
        <v>1115</v>
      </c>
      <c r="BL351" t="s">
        <v>1116</v>
      </c>
      <c r="BM351" t="s">
        <v>1117</v>
      </c>
      <c r="BN351" s="13"/>
      <c r="BO351" t="s">
        <v>973</v>
      </c>
      <c r="BP351" t="s">
        <v>973</v>
      </c>
      <c r="BQ351" t="s">
        <v>973</v>
      </c>
      <c r="BR351" t="s">
        <v>973</v>
      </c>
    </row>
    <row r="352" spans="1:70" x14ac:dyDescent="0.25">
      <c r="A352" t="s">
        <v>143</v>
      </c>
      <c r="B352" t="s">
        <v>144</v>
      </c>
      <c r="C352" t="s">
        <v>145</v>
      </c>
      <c r="D352" s="6"/>
      <c r="E352" s="9" t="str">
        <f>HYPERLINK("http://plants.ensembl.org/Triticum_aestivum/Gene/Summary?g=TRIAE_CS42_2AS_TGACv1_112465_AA0338580","TRIAE_CS42_2AS_TGACv1_112465_AA0338580")</f>
        <v>TRIAE_CS42_2AS_TGACv1_112465_AA0338580</v>
      </c>
      <c r="F352" s="9" t="str">
        <f>HYPERLINK("http://mar2016-plants.ensembl.org/Triticum_aestivum/Gene/Summary?db=core;g=Traes_2AS_97D77B696","Traes_2AS_97D77B696")</f>
        <v>Traes_2AS_97D77B696</v>
      </c>
      <c r="H352" s="8" t="str">
        <f>HYPERLINK("http://plants.ensembl.org/Brachypodium_distachyon/Gene/Summary?g=Bradi1g22830","Bradi1g22830")</f>
        <v>Bradi1g22830</v>
      </c>
      <c r="I352" s="8" t="str">
        <f>HYPERLINK("http://plants.ensembl.org/Arabidopsis_thaliana/Gene/Summary?g=AT4G37390","AT4G37390")</f>
        <v>AT4G37390</v>
      </c>
      <c r="J352" s="9" t="str">
        <f>HYPERLINK("http://plants.ensembl.org/Oryza_sativa/Gene/Summary?db=otherfeatures;g=LOC_Os07g40290","LOC_Os07g40290")</f>
        <v>LOC_Os07g40290</v>
      </c>
      <c r="L352" s="6"/>
      <c r="M352" s="1" t="s">
        <v>973</v>
      </c>
      <c r="N352" s="1" t="s">
        <v>973</v>
      </c>
      <c r="O352" s="1" t="s">
        <v>973</v>
      </c>
      <c r="P352" s="1">
        <v>1</v>
      </c>
      <c r="Q352" s="1" t="s">
        <v>973</v>
      </c>
      <c r="R352" s="1" t="s">
        <v>973</v>
      </c>
      <c r="S352" s="1"/>
      <c r="T352" s="6"/>
      <c r="U352" s="11">
        <v>10.346366501320498</v>
      </c>
      <c r="V352" s="11">
        <v>10.638365979900991</v>
      </c>
      <c r="W352" s="11">
        <v>8.864754235859051</v>
      </c>
      <c r="X352" s="11">
        <v>9.0920068853744791</v>
      </c>
      <c r="Y352" s="11">
        <v>9.0674488817518899</v>
      </c>
      <c r="Z352" s="11">
        <v>8.9567765034205493</v>
      </c>
      <c r="AA352" s="11">
        <v>8.9051013461882356</v>
      </c>
      <c r="AB352" s="11">
        <v>9.0976951515111928</v>
      </c>
      <c r="AC352" s="11">
        <v>7.4623209444621237</v>
      </c>
      <c r="AD352" s="11">
        <v>7.6196460553041945</v>
      </c>
      <c r="AE352" s="11">
        <v>7.844545299139372</v>
      </c>
      <c r="AF352" s="11">
        <v>7.780485525274317</v>
      </c>
      <c r="AG352" s="11">
        <v>7.4659717444882299</v>
      </c>
      <c r="AH352" s="11">
        <v>7.1825059241284199</v>
      </c>
      <c r="AI352" s="11">
        <v>7.5312621408031557</v>
      </c>
      <c r="AJ352" s="11">
        <v>7.2743607577067335</v>
      </c>
      <c r="AK352" s="6"/>
      <c r="AL352" t="s">
        <v>1077</v>
      </c>
      <c r="AM352">
        <v>1426</v>
      </c>
      <c r="AN352" s="6"/>
      <c r="AO352" s="20">
        <v>2.8769999999999998</v>
      </c>
      <c r="AP352" s="20">
        <v>3.0236999999999998</v>
      </c>
      <c r="AQ352" s="20">
        <v>1.0143</v>
      </c>
      <c r="AR352" s="20">
        <v>1.3012999999999999</v>
      </c>
      <c r="AS352" s="20">
        <v>1.5908</v>
      </c>
      <c r="AT352" s="20">
        <v>1.7639</v>
      </c>
      <c r="AU352" s="20">
        <v>1.367</v>
      </c>
      <c r="AV352" s="20">
        <v>1.8130999999999999</v>
      </c>
      <c r="AW352" s="6"/>
      <c r="AX352" s="18">
        <v>1.3449999999999999E-11</v>
      </c>
      <c r="AY352" s="18">
        <v>3.408E-12</v>
      </c>
      <c r="AZ352" s="18">
        <v>1.6660000000000001E-2</v>
      </c>
      <c r="BA352" s="18">
        <v>2.153E-3</v>
      </c>
      <c r="BB352" s="18">
        <v>1.717E-4</v>
      </c>
      <c r="BC352" s="18">
        <v>3.4310000000000002E-5</v>
      </c>
      <c r="BD352" s="18">
        <v>1.2639999999999999E-3</v>
      </c>
      <c r="BE352" s="18">
        <v>1.9809999999999998E-5</v>
      </c>
      <c r="BF352" s="13"/>
      <c r="BG352" t="s">
        <v>1322</v>
      </c>
      <c r="BH352" t="s">
        <v>1132</v>
      </c>
      <c r="BI352" t="s">
        <v>1113</v>
      </c>
      <c r="BJ352" t="s">
        <v>1114</v>
      </c>
      <c r="BK352" t="s">
        <v>1115</v>
      </c>
      <c r="BL352" t="s">
        <v>1116</v>
      </c>
      <c r="BM352" t="s">
        <v>1117</v>
      </c>
      <c r="BN352" s="13"/>
      <c r="BO352" t="s">
        <v>973</v>
      </c>
      <c r="BP352" t="s">
        <v>973</v>
      </c>
      <c r="BQ352" t="s">
        <v>973</v>
      </c>
      <c r="BR352" t="s">
        <v>973</v>
      </c>
    </row>
    <row r="353" spans="1:70" x14ac:dyDescent="0.25">
      <c r="A353" t="s">
        <v>201</v>
      </c>
      <c r="B353" t="s">
        <v>202</v>
      </c>
      <c r="C353" t="s">
        <v>145</v>
      </c>
      <c r="D353" s="6"/>
      <c r="E353" s="9" t="str">
        <f>HYPERLINK("http://plants.ensembl.org/Triticum_aestivum/Gene/Summary?g=TRIAE_CS42_2BS_TGACv1_146679_AA0470560","TRIAE_CS42_2BS_TGACv1_146679_AA0470560")</f>
        <v>TRIAE_CS42_2BS_TGACv1_146679_AA0470560</v>
      </c>
      <c r="F353" s="9" t="str">
        <f>HYPERLINK("http://mar2016-plants.ensembl.org/Triticum_aestivum/Gene/Summary?db=core;g=Traes_2BS_A9BF5F962","Traes_2BS_A9BF5F962")</f>
        <v>Traes_2BS_A9BF5F962</v>
      </c>
      <c r="H353" s="8" t="str">
        <f>HYPERLINK("http://plants.ensembl.org/Brachypodium_distachyon/Gene/Summary?g=Bradi1g22830","Bradi1g22830")</f>
        <v>Bradi1g22830</v>
      </c>
      <c r="I353" s="8" t="str">
        <f>HYPERLINK("http://plants.ensembl.org/Arabidopsis_thaliana/Gene/Summary?g=AT2G14960","AT2G14960")</f>
        <v>AT2G14960</v>
      </c>
      <c r="J353" s="9" t="str">
        <f>HYPERLINK("http://plants.ensembl.org/Oryza_sativa/Gene/Summary?db=otherfeatures;g=LOC_Os07g40290","LOC_Os07g40290")</f>
        <v>LOC_Os07g40290</v>
      </c>
      <c r="L353" s="6"/>
      <c r="M353" s="1" t="s">
        <v>973</v>
      </c>
      <c r="N353" s="1" t="s">
        <v>973</v>
      </c>
      <c r="O353" s="1" t="s">
        <v>973</v>
      </c>
      <c r="P353" s="1">
        <v>1</v>
      </c>
      <c r="Q353" s="1" t="s">
        <v>973</v>
      </c>
      <c r="R353" s="1" t="s">
        <v>973</v>
      </c>
      <c r="S353" s="1"/>
      <c r="T353" s="6"/>
      <c r="U353" s="11">
        <v>9.7893952374172919</v>
      </c>
      <c r="V353" s="11">
        <v>10.671065898643306</v>
      </c>
      <c r="W353" s="11">
        <v>8.3766861474286607</v>
      </c>
      <c r="X353" s="11">
        <v>8.6036698600672352</v>
      </c>
      <c r="Y353" s="11">
        <v>8.4269576969837185</v>
      </c>
      <c r="Z353" s="11">
        <v>8.4624246996657302</v>
      </c>
      <c r="AA353" s="11">
        <v>8.0852477716433384</v>
      </c>
      <c r="AB353" s="11">
        <v>8.3729805291217883</v>
      </c>
      <c r="AC353" s="11">
        <v>6.4061851598089383</v>
      </c>
      <c r="AD353" s="11">
        <v>7.0108216035138318</v>
      </c>
      <c r="AE353" s="11">
        <v>7.0971953580611293</v>
      </c>
      <c r="AF353" s="11">
        <v>6.9064424890640073</v>
      </c>
      <c r="AG353" s="11">
        <v>6.7053356396848125</v>
      </c>
      <c r="AH353" s="11">
        <v>6.0646917553963835</v>
      </c>
      <c r="AI353" s="11">
        <v>6.6367343288594105</v>
      </c>
      <c r="AJ353" s="11">
        <v>6.4275352206537679</v>
      </c>
      <c r="AK353" s="6"/>
      <c r="AL353" t="s">
        <v>1077</v>
      </c>
      <c r="AM353">
        <v>1445</v>
      </c>
      <c r="AN353" s="6"/>
      <c r="AO353" s="20">
        <v>3.3738000000000001</v>
      </c>
      <c r="AP353" s="20">
        <v>3.6230000000000002</v>
      </c>
      <c r="AQ353" s="20">
        <v>1.2693000000000001</v>
      </c>
      <c r="AR353" s="20">
        <v>1.6766000000000001</v>
      </c>
      <c r="AS353" s="20">
        <v>1.7072000000000001</v>
      </c>
      <c r="AT353" s="20">
        <v>2.3826000000000001</v>
      </c>
      <c r="AU353" s="20">
        <v>1.4407000000000001</v>
      </c>
      <c r="AV353" s="20">
        <v>1.9321999999999999</v>
      </c>
      <c r="AW353" s="6"/>
      <c r="AX353" s="18">
        <v>2.7330000000000001E-11</v>
      </c>
      <c r="AY353" s="18">
        <v>1.9220000000000001E-12</v>
      </c>
      <c r="AZ353" s="18">
        <v>1.157E-2</v>
      </c>
      <c r="BA353" s="18">
        <v>8.7469999999999996E-4</v>
      </c>
      <c r="BB353" s="18">
        <v>6.8110000000000002E-4</v>
      </c>
      <c r="BC353" s="18">
        <v>2.689E-6</v>
      </c>
      <c r="BD353" s="18">
        <v>4.2589999999999998E-3</v>
      </c>
      <c r="BE353" s="18">
        <v>1.3070000000000001E-4</v>
      </c>
      <c r="BF353" s="13"/>
      <c r="BG353" t="s">
        <v>1322</v>
      </c>
      <c r="BH353" t="s">
        <v>1132</v>
      </c>
      <c r="BI353" t="s">
        <v>1113</v>
      </c>
      <c r="BJ353" t="s">
        <v>1114</v>
      </c>
      <c r="BK353" t="s">
        <v>1115</v>
      </c>
      <c r="BL353" t="s">
        <v>1116</v>
      </c>
      <c r="BM353" t="s">
        <v>1117</v>
      </c>
      <c r="BN353" s="13"/>
      <c r="BO353" t="s">
        <v>973</v>
      </c>
      <c r="BP353" t="s">
        <v>973</v>
      </c>
      <c r="BQ353" t="s">
        <v>973</v>
      </c>
      <c r="BR353" t="s">
        <v>973</v>
      </c>
    </row>
    <row r="354" spans="1:70" x14ac:dyDescent="0.25">
      <c r="A354" t="s">
        <v>258</v>
      </c>
      <c r="B354" t="s">
        <v>202</v>
      </c>
      <c r="C354" t="s">
        <v>145</v>
      </c>
      <c r="D354" s="6"/>
      <c r="E354" s="9" t="str">
        <f>HYPERLINK("http://plants.ensembl.org/Triticum_aestivum/Gene/Summary?g=TRIAE_CS42_2DS_TGACv1_178770_AA0600760","TRIAE_CS42_2DS_TGACv1_178770_AA0600760")</f>
        <v>TRIAE_CS42_2DS_TGACv1_178770_AA0600760</v>
      </c>
      <c r="H354" s="8" t="str">
        <f>HYPERLINK("http://plants.ensembl.org/Brachypodium_distachyon/Gene/Summary?g=Bradi1g22830","Bradi1g22830")</f>
        <v>Bradi1g22830</v>
      </c>
      <c r="I354" s="8" t="str">
        <f>HYPERLINK("http://plants.ensembl.org/Arabidopsis_thaliana/Gene/Summary?g=AT4G37390","AT4G37390")</f>
        <v>AT4G37390</v>
      </c>
      <c r="J354" s="9" t="str">
        <f>HYPERLINK("http://plants.ensembl.org/Oryza_sativa/Gene/Summary?db=otherfeatures;g=LOC_Os07g40290","LOC_Os07g40290")</f>
        <v>LOC_Os07g40290</v>
      </c>
      <c r="L354" s="6"/>
      <c r="M354" s="1" t="s">
        <v>973</v>
      </c>
      <c r="N354" s="1" t="s">
        <v>973</v>
      </c>
      <c r="O354" s="1" t="s">
        <v>973</v>
      </c>
      <c r="P354" s="1">
        <v>1</v>
      </c>
      <c r="Q354" s="1" t="s">
        <v>973</v>
      </c>
      <c r="R354" s="1" t="s">
        <v>973</v>
      </c>
      <c r="S354" s="1"/>
      <c r="T354" s="6"/>
      <c r="U354" s="11">
        <v>10.324110173194208</v>
      </c>
      <c r="V354" s="11">
        <v>11.232817264085943</v>
      </c>
      <c r="W354" s="11">
        <v>8.5404975950525746</v>
      </c>
      <c r="X354" s="11">
        <v>9.1961134822041615</v>
      </c>
      <c r="Y354" s="11">
        <v>8.1580643145786151</v>
      </c>
      <c r="Z354" s="11">
        <v>8.5467950622330697</v>
      </c>
      <c r="AA354" s="11">
        <v>8.0346691279346096</v>
      </c>
      <c r="AB354" s="11">
        <v>8.7372893752410778</v>
      </c>
      <c r="AC354" s="11">
        <v>6.5931236624932197</v>
      </c>
      <c r="AD354" s="11">
        <v>7.0051783861807522</v>
      </c>
      <c r="AE354" s="11">
        <v>7.2654318950176879</v>
      </c>
      <c r="AF354" s="11">
        <v>7.1426057435487493</v>
      </c>
      <c r="AG354" s="11">
        <v>6.6328701823830292</v>
      </c>
      <c r="AH354" s="11">
        <v>6.444649951741356</v>
      </c>
      <c r="AI354" s="11">
        <v>6.5047114848092678</v>
      </c>
      <c r="AJ354" s="11">
        <v>6.3926156634245119</v>
      </c>
      <c r="AK354" s="6"/>
      <c r="AL354" t="s">
        <v>1077</v>
      </c>
      <c r="AM354">
        <v>693</v>
      </c>
      <c r="AN354" s="6"/>
      <c r="AO354" s="20">
        <v>3.7044999999999999</v>
      </c>
      <c r="AP354" s="20">
        <v>4.1363000000000003</v>
      </c>
      <c r="AQ354" s="20">
        <v>1.2619</v>
      </c>
      <c r="AR354" s="20">
        <v>2.0272000000000001</v>
      </c>
      <c r="AS354" s="20">
        <v>1.5105</v>
      </c>
      <c r="AT354" s="20">
        <v>2.0817999999999999</v>
      </c>
      <c r="AU354" s="20">
        <v>1.5185999999999999</v>
      </c>
      <c r="AV354" s="20">
        <v>2.3235999999999999</v>
      </c>
      <c r="AW354" s="6"/>
      <c r="AX354" s="18">
        <v>6.2249999999999998E-12</v>
      </c>
      <c r="AY354" s="18">
        <v>3.986E-14</v>
      </c>
      <c r="AZ354" s="18">
        <v>1.8589999999999999E-2</v>
      </c>
      <c r="BA354" s="18">
        <v>1.5779999999999999E-4</v>
      </c>
      <c r="BB354" s="18">
        <v>4.9100000000000003E-3</v>
      </c>
      <c r="BC354" s="18">
        <v>1.132E-4</v>
      </c>
      <c r="BD354" s="18">
        <v>4.7949999999999998E-3</v>
      </c>
      <c r="BE354" s="18">
        <v>1.6039999999999999E-5</v>
      </c>
      <c r="BF354" s="13"/>
      <c r="BG354" t="s">
        <v>1322</v>
      </c>
      <c r="BH354" t="s">
        <v>1132</v>
      </c>
      <c r="BI354" t="s">
        <v>1113</v>
      </c>
      <c r="BJ354" t="s">
        <v>1114</v>
      </c>
      <c r="BK354" t="s">
        <v>1115</v>
      </c>
      <c r="BL354" t="s">
        <v>1116</v>
      </c>
      <c r="BM354" t="s">
        <v>1117</v>
      </c>
      <c r="BN354" s="13"/>
      <c r="BO354" t="s">
        <v>973</v>
      </c>
      <c r="BP354" t="s">
        <v>973</v>
      </c>
      <c r="BQ354" t="s">
        <v>973</v>
      </c>
      <c r="BR354" t="s">
        <v>973</v>
      </c>
    </row>
    <row r="355" spans="1:70" x14ac:dyDescent="0.25">
      <c r="A355" t="s">
        <v>324</v>
      </c>
      <c r="B355" t="s">
        <v>202</v>
      </c>
      <c r="C355" t="s">
        <v>145</v>
      </c>
      <c r="D355" s="6"/>
      <c r="E355" s="9" t="str">
        <f>HYPERLINK("http://plants.ensembl.org/Triticum_aestivum/Gene/Summary?g=TRIAE_CS42_3AL_TGACv1_195212_AA0646540","TRIAE_CS42_3AL_TGACv1_195212_AA0646540")</f>
        <v>TRIAE_CS42_3AL_TGACv1_195212_AA0646540</v>
      </c>
      <c r="H355" s="8" t="str">
        <f>HYPERLINK("http://plants.ensembl.org/Brachypodium_distachyon/Gene/Summary?g=Bradi2g50840","Bradi2g50840")</f>
        <v>Bradi2g50840</v>
      </c>
      <c r="I355" s="1" t="s">
        <v>1051</v>
      </c>
      <c r="J355" s="9" t="str">
        <f>HYPERLINK("http://plants.ensembl.org/Oryza_sativa/Gene/Summary?db=otherfeatures;g=LOC_Os01g55940","LOC_Os01g55940")</f>
        <v>LOC_Os01g55940</v>
      </c>
      <c r="L355" s="6"/>
      <c r="M355" s="1" t="s">
        <v>973</v>
      </c>
      <c r="N355" s="1" t="s">
        <v>973</v>
      </c>
      <c r="O355" s="1" t="s">
        <v>973</v>
      </c>
      <c r="P355" s="1">
        <v>1</v>
      </c>
      <c r="Q355" s="1" t="s">
        <v>973</v>
      </c>
      <c r="R355" s="1" t="s">
        <v>973</v>
      </c>
      <c r="S355" s="1"/>
      <c r="T355" s="6"/>
      <c r="U355" s="11">
        <v>9.5709778162958248</v>
      </c>
      <c r="V355" s="11">
        <v>11.878953834894318</v>
      </c>
      <c r="W355" s="11">
        <v>7.508142324796963</v>
      </c>
      <c r="X355" s="11">
        <v>7.9846168809985061</v>
      </c>
      <c r="Y355" s="11">
        <v>7.1060942228755275</v>
      </c>
      <c r="Z355" s="11">
        <v>7.766047598700605</v>
      </c>
      <c r="AA355" s="11">
        <v>7.1719496982783841</v>
      </c>
      <c r="AB355" s="11">
        <v>6.820157257990247</v>
      </c>
      <c r="AC355" s="11">
        <v>6.0705245742119098</v>
      </c>
      <c r="AD355" s="11">
        <v>6.5193364136714189</v>
      </c>
      <c r="AE355" s="11">
        <v>7.470133077400912</v>
      </c>
      <c r="AF355" s="11">
        <v>7.0692889965471659</v>
      </c>
      <c r="AG355" s="11">
        <v>6.9436709345851737</v>
      </c>
      <c r="AH355" s="11">
        <v>6.4717559488695775</v>
      </c>
      <c r="AI355" s="11">
        <v>6.2158901711893648</v>
      </c>
      <c r="AJ355" s="11">
        <v>5.9088001008026243</v>
      </c>
      <c r="AK355" s="6"/>
      <c r="AL355" t="s">
        <v>1090</v>
      </c>
      <c r="AM355">
        <v>0</v>
      </c>
      <c r="AN355" s="6"/>
      <c r="AO355" s="20">
        <v>3.4893000000000001</v>
      </c>
      <c r="AP355" s="20">
        <v>5.2721999999999998</v>
      </c>
      <c r="AQ355" s="20">
        <v>3.7499999999999999E-2</v>
      </c>
      <c r="AR355" s="20">
        <v>0.90190000000000003</v>
      </c>
      <c r="AS355" s="20">
        <v>0.16059999999999999</v>
      </c>
      <c r="AT355" s="20">
        <v>1.2842</v>
      </c>
      <c r="AU355" s="20">
        <v>0.95089999999999997</v>
      </c>
      <c r="AV355" s="20">
        <v>0.90720000000000001</v>
      </c>
      <c r="AW355" s="6"/>
      <c r="AX355" s="18">
        <v>4.0420000000000001E-10</v>
      </c>
      <c r="AY355" s="18">
        <v>1.4660000000000001E-20</v>
      </c>
      <c r="AZ355" s="18">
        <v>0.94599999999999995</v>
      </c>
      <c r="BA355" s="18">
        <v>0.10340000000000001</v>
      </c>
      <c r="BB355" s="18">
        <v>0.77210000000000001</v>
      </c>
      <c r="BC355" s="18">
        <v>2.0879999999999999E-2</v>
      </c>
      <c r="BD355" s="18">
        <v>8.7550000000000003E-2</v>
      </c>
      <c r="BE355" s="18">
        <v>0.10539999999999999</v>
      </c>
      <c r="BF355" s="13"/>
      <c r="BG355" t="s">
        <v>1191</v>
      </c>
      <c r="BH355" t="s">
        <v>1132</v>
      </c>
      <c r="BI355" t="s">
        <v>1113</v>
      </c>
      <c r="BJ355" t="s">
        <v>1127</v>
      </c>
      <c r="BK355" t="s">
        <v>1115</v>
      </c>
      <c r="BL355" t="s">
        <v>1116</v>
      </c>
      <c r="BM355" t="s">
        <v>1117</v>
      </c>
      <c r="BN355" s="13"/>
      <c r="BO355" t="s">
        <v>973</v>
      </c>
      <c r="BP355" t="s">
        <v>973</v>
      </c>
      <c r="BQ355">
        <v>1</v>
      </c>
      <c r="BR355" t="s">
        <v>973</v>
      </c>
    </row>
    <row r="356" spans="1:70" x14ac:dyDescent="0.25">
      <c r="A356" t="s">
        <v>429</v>
      </c>
      <c r="B356" t="s">
        <v>202</v>
      </c>
      <c r="C356" t="s">
        <v>145</v>
      </c>
      <c r="D356" s="6"/>
      <c r="E356" s="9" t="str">
        <f>HYPERLINK("http://plants.ensembl.org/Triticum_aestivum/Gene/Summary?g=TRIAE_CS42_3DL_TGACv1_253414_AA0894480","TRIAE_CS42_3DL_TGACv1_253414_AA0894480")</f>
        <v>TRIAE_CS42_3DL_TGACv1_253414_AA0894480</v>
      </c>
      <c r="H356" s="8" t="str">
        <f>HYPERLINK("http://plants.ensembl.org/Brachypodium_distachyon/Gene/Summary?g=Bradi2g50840","Bradi2g50840")</f>
        <v>Bradi2g50840</v>
      </c>
      <c r="I356" s="1" t="s">
        <v>1051</v>
      </c>
      <c r="J356" s="9" t="str">
        <f>HYPERLINK("http://plants.ensembl.org/Oryza_sativa/Gene/Summary?db=otherfeatures;g=LOC_Os01g55940","LOC_Os01g55940")</f>
        <v>LOC_Os01g55940</v>
      </c>
      <c r="L356" s="6"/>
      <c r="M356" s="1" t="s">
        <v>973</v>
      </c>
      <c r="N356" s="1" t="s">
        <v>973</v>
      </c>
      <c r="O356" s="1" t="s">
        <v>973</v>
      </c>
      <c r="P356" s="1">
        <v>1</v>
      </c>
      <c r="Q356" s="1" t="s">
        <v>973</v>
      </c>
      <c r="R356" s="1" t="s">
        <v>973</v>
      </c>
      <c r="S356" s="1"/>
      <c r="T356" s="6"/>
      <c r="U356" s="11">
        <v>10.093372753209909</v>
      </c>
      <c r="V356" s="11">
        <v>12.064160057374671</v>
      </c>
      <c r="W356" s="11">
        <v>7.9886623456523562</v>
      </c>
      <c r="X356" s="11">
        <v>8.7573487809816548</v>
      </c>
      <c r="Y356" s="11">
        <v>8.0948768203115495</v>
      </c>
      <c r="Z356" s="11">
        <v>8.6161717947126562</v>
      </c>
      <c r="AA356" s="11">
        <v>7.4743189506777439</v>
      </c>
      <c r="AB356" s="11">
        <v>8.0031256443706749</v>
      </c>
      <c r="AC356" s="11">
        <v>6.3941791296507553</v>
      </c>
      <c r="AD356" s="11">
        <v>6.8258059756293452</v>
      </c>
      <c r="AE356" s="11">
        <v>6.7659488429494798</v>
      </c>
      <c r="AF356" s="11">
        <v>6.7426220282522227</v>
      </c>
      <c r="AG356" s="11">
        <v>6.7014640378201653</v>
      </c>
      <c r="AH356" s="11">
        <v>6.2239688633692252</v>
      </c>
      <c r="AI356" s="11">
        <v>5.5327283867149619</v>
      </c>
      <c r="AJ356" s="11">
        <v>5.6612831031581443</v>
      </c>
      <c r="AK356" s="6"/>
      <c r="AL356" t="s">
        <v>1077</v>
      </c>
      <c r="AM356">
        <v>109</v>
      </c>
      <c r="AN356" s="6"/>
      <c r="AO356" s="20">
        <v>3.6798000000000002</v>
      </c>
      <c r="AP356" s="20">
        <v>5.1755000000000004</v>
      </c>
      <c r="AQ356" s="20">
        <v>1.2124999999999999</v>
      </c>
      <c r="AR356" s="20">
        <v>1.9891000000000001</v>
      </c>
      <c r="AS356" s="20">
        <v>1.3801000000000001</v>
      </c>
      <c r="AT356" s="20">
        <v>2.3734999999999999</v>
      </c>
      <c r="AU356" s="20">
        <v>1.9369000000000001</v>
      </c>
      <c r="AV356" s="20">
        <v>2.33</v>
      </c>
      <c r="AW356" s="6"/>
      <c r="AX356" s="18">
        <v>3.257E-12</v>
      </c>
      <c r="AY356" s="18">
        <v>5.3840000000000003E-22</v>
      </c>
      <c r="AZ356" s="18">
        <v>2.12E-2</v>
      </c>
      <c r="BA356" s="18">
        <v>1.571E-4</v>
      </c>
      <c r="BB356" s="18">
        <v>8.5839999999999996E-3</v>
      </c>
      <c r="BC356" s="18">
        <v>7.1010000000000003E-6</v>
      </c>
      <c r="BD356" s="18">
        <v>2.7520000000000002E-4</v>
      </c>
      <c r="BE356" s="18">
        <v>1.167E-5</v>
      </c>
      <c r="BF356" s="13"/>
      <c r="BG356" t="s">
        <v>1322</v>
      </c>
      <c r="BH356" t="s">
        <v>1132</v>
      </c>
      <c r="BI356" t="s">
        <v>1113</v>
      </c>
      <c r="BJ356" t="s">
        <v>1127</v>
      </c>
      <c r="BK356" t="s">
        <v>1115</v>
      </c>
      <c r="BL356" t="s">
        <v>1116</v>
      </c>
      <c r="BM356" t="s">
        <v>1117</v>
      </c>
      <c r="BN356" s="13"/>
      <c r="BO356" t="s">
        <v>973</v>
      </c>
      <c r="BP356" t="s">
        <v>973</v>
      </c>
      <c r="BQ356" t="s">
        <v>973</v>
      </c>
      <c r="BR356" t="s">
        <v>973</v>
      </c>
    </row>
    <row r="357" spans="1:70" x14ac:dyDescent="0.25">
      <c r="A357" t="s">
        <v>846</v>
      </c>
      <c r="B357" t="s">
        <v>847</v>
      </c>
      <c r="C357" t="s">
        <v>848</v>
      </c>
      <c r="D357" s="6"/>
      <c r="E357" s="9" t="str">
        <f>HYPERLINK("http://plants.ensembl.org/Triticum_aestivum/Gene/Summary?g=TRIAE_CS42_7AS_TGACv1_569084_AA1806770","TRIAE_CS42_7AS_TGACv1_569084_AA1806770")</f>
        <v>TRIAE_CS42_7AS_TGACv1_569084_AA1806770</v>
      </c>
      <c r="H357" s="8" t="str">
        <f>HYPERLINK("http://plants.ensembl.org/Brachypodium_distachyon/Gene/Summary?g=Bradi1g44370","Bradi1g44370")</f>
        <v>Bradi1g44370</v>
      </c>
      <c r="I357" s="1" t="s">
        <v>1051</v>
      </c>
      <c r="J357" s="9" t="str">
        <f>HYPERLINK("http://plants.ensembl.org/Oryza_sativa/Gene/Summary?db=otherfeatures;g=LOC_Os06g13940","LOC_Os06g13940")</f>
        <v>LOC_Os06g13940</v>
      </c>
      <c r="L357" s="6"/>
      <c r="M357" s="1" t="s">
        <v>973</v>
      </c>
      <c r="N357" s="1" t="s">
        <v>973</v>
      </c>
      <c r="O357" s="1" t="s">
        <v>973</v>
      </c>
      <c r="P357" s="1" t="s">
        <v>973</v>
      </c>
      <c r="Q357" s="1" t="s">
        <v>973</v>
      </c>
      <c r="R357" s="1">
        <v>1</v>
      </c>
      <c r="S357" s="1"/>
      <c r="T357" s="6"/>
      <c r="U357" s="11">
        <v>10.214374738779915</v>
      </c>
      <c r="V357" s="11">
        <v>11.445292353409448</v>
      </c>
      <c r="W357" s="11">
        <v>8.2577561700907456</v>
      </c>
      <c r="X357" s="11">
        <v>8.7339581619948952</v>
      </c>
      <c r="Y357" s="11">
        <v>9.1555336264448357</v>
      </c>
      <c r="Z357" s="11">
        <v>8.5717039841117177</v>
      </c>
      <c r="AA357" s="11">
        <v>8.1602037236716303</v>
      </c>
      <c r="AB357" s="11">
        <v>7.8414953692723737</v>
      </c>
      <c r="AC357" s="11">
        <v>2.4814281169105818</v>
      </c>
      <c r="AD357" s="11">
        <v>0.39407506562573752</v>
      </c>
      <c r="AE357" s="11">
        <v>0</v>
      </c>
      <c r="AF357" s="11">
        <v>0.47677914088184625</v>
      </c>
      <c r="AG357" s="11">
        <v>0.16602981449478316</v>
      </c>
      <c r="AH357" s="11">
        <v>0.71852602646226216</v>
      </c>
      <c r="AI357" s="11">
        <v>0.32799388035946819</v>
      </c>
      <c r="AJ357" s="11">
        <v>0.82578562746479145</v>
      </c>
      <c r="AK357" s="6"/>
      <c r="AL357" t="s">
        <v>1077</v>
      </c>
      <c r="AM357">
        <v>2325</v>
      </c>
      <c r="AN357" s="6"/>
      <c r="AO357" s="20">
        <v>7.9957000000000003</v>
      </c>
      <c r="AP357" s="20">
        <v>11.301500000000001</v>
      </c>
      <c r="AQ357" s="20">
        <v>9.9578000000000007</v>
      </c>
      <c r="AR357" s="20">
        <v>9.0477000000000007</v>
      </c>
      <c r="AS357" s="20">
        <v>10.617800000000001</v>
      </c>
      <c r="AT357" s="20">
        <v>8.6893999999999991</v>
      </c>
      <c r="AU357" s="20">
        <v>9.0935000000000006</v>
      </c>
      <c r="AV357" s="20">
        <v>7.7645</v>
      </c>
      <c r="AW357" s="6"/>
      <c r="AX357" s="18">
        <v>3.7449999999999997E-26</v>
      </c>
      <c r="AY357" s="18">
        <v>3.1860000000000001E-27</v>
      </c>
      <c r="AZ357" s="18">
        <v>1.003E-16</v>
      </c>
      <c r="BA357" s="18">
        <v>1.3089999999999999E-18</v>
      </c>
      <c r="BB357" s="18">
        <v>2.1120000000000001E-21</v>
      </c>
      <c r="BC357" s="18">
        <v>7.8249999999999996E-18</v>
      </c>
      <c r="BD357" s="18">
        <v>5.9070000000000001E-16</v>
      </c>
      <c r="BE357" s="18">
        <v>1.5910000000000001E-16</v>
      </c>
      <c r="BF357" s="13"/>
      <c r="BG357" t="s">
        <v>1131</v>
      </c>
      <c r="BH357" t="s">
        <v>1144</v>
      </c>
      <c r="BI357" t="s">
        <v>1113</v>
      </c>
      <c r="BJ357" t="s">
        <v>1114</v>
      </c>
      <c r="BK357" t="s">
        <v>1115</v>
      </c>
      <c r="BL357" t="s">
        <v>1116</v>
      </c>
      <c r="BM357" t="s">
        <v>1117</v>
      </c>
      <c r="BN357" s="13"/>
      <c r="BO357" t="s">
        <v>973</v>
      </c>
      <c r="BP357" t="s">
        <v>973</v>
      </c>
      <c r="BQ357" t="s">
        <v>973</v>
      </c>
      <c r="BR357" t="s">
        <v>973</v>
      </c>
    </row>
    <row r="358" spans="1:70" x14ac:dyDescent="0.25">
      <c r="A358" t="s">
        <v>39</v>
      </c>
      <c r="B358" t="s">
        <v>40</v>
      </c>
      <c r="C358" t="s">
        <v>41</v>
      </c>
      <c r="D358" s="6"/>
      <c r="E358" s="9" t="str">
        <f>HYPERLINK("http://plants.ensembl.org/Triticum_aestivum/Gene/Summary?g=TRIAE_CS42_1AL_TGACv1_002876_AA0045790","TRIAE_CS42_1AL_TGACv1_002876_AA0045790")</f>
        <v>TRIAE_CS42_1AL_TGACv1_002876_AA0045790</v>
      </c>
      <c r="F358" s="9" t="str">
        <f>HYPERLINK("http://mar2016-plants.ensembl.org/Triticum_aestivum/Gene/Summary?db=core;g=Traes_1AL_3A716350F","Traes_1AL_3A716350F")</f>
        <v>Traes_1AL_3A716350F</v>
      </c>
      <c r="H358" s="8" t="str">
        <f>HYPERLINK("http://plants.ensembl.org/Brachypodium_distachyon/Gene/Summary?g=Bradi2g24980","Bradi2g24980")</f>
        <v>Bradi2g24980</v>
      </c>
      <c r="I358" s="1" t="s">
        <v>1051</v>
      </c>
      <c r="J358" s="9" t="str">
        <f>HYPERLINK("http://plants.ensembl.org/Oryza_sativa/Gene/Summary?db=otherfeatures;g=LOC_Os05g34854","LOC_Os05g34854")</f>
        <v>LOC_Os05g34854</v>
      </c>
      <c r="L358" s="6"/>
      <c r="M358" s="1" t="s">
        <v>973</v>
      </c>
      <c r="N358" s="1" t="s">
        <v>973</v>
      </c>
      <c r="O358" s="1" t="s">
        <v>973</v>
      </c>
      <c r="P358" s="1" t="s">
        <v>973</v>
      </c>
      <c r="Q358" s="1" t="s">
        <v>973</v>
      </c>
      <c r="R358" s="1">
        <v>1</v>
      </c>
      <c r="S358" s="1"/>
      <c r="T358" s="6"/>
      <c r="U358" s="11">
        <v>4.4083269098692677</v>
      </c>
      <c r="V358" s="11">
        <v>7.5142916695539279</v>
      </c>
      <c r="W358" s="11">
        <v>5.8202742877877061</v>
      </c>
      <c r="X358" s="11">
        <v>7.1756473486972068</v>
      </c>
      <c r="Y358" s="11">
        <v>3.2778013001851383</v>
      </c>
      <c r="Z358" s="11">
        <v>4.3257174020872533</v>
      </c>
      <c r="AA358" s="11">
        <v>7.1050319774857291</v>
      </c>
      <c r="AB358" s="11">
        <v>6.4818419384179098</v>
      </c>
      <c r="AC358" s="11">
        <v>5.054540287197093</v>
      </c>
      <c r="AD358" s="11">
        <v>7.397369449459724</v>
      </c>
      <c r="AE358" s="11">
        <v>5.4837330281364949</v>
      </c>
      <c r="AF358" s="11">
        <v>6.1086289961094637</v>
      </c>
      <c r="AG358" s="11">
        <v>4.1056110366044916</v>
      </c>
      <c r="AH358" s="11">
        <v>4.2526957050777563</v>
      </c>
      <c r="AI358" s="11">
        <v>6.1932276738371126</v>
      </c>
      <c r="AJ358" s="11">
        <v>6.3648566245638047</v>
      </c>
      <c r="AK358" s="6"/>
      <c r="AL358" t="s">
        <v>1093</v>
      </c>
      <c r="AM358">
        <v>0</v>
      </c>
      <c r="AN358" s="6"/>
      <c r="AO358" s="20">
        <v>-0.6321</v>
      </c>
      <c r="AP358" s="20">
        <v>1.44E-2</v>
      </c>
      <c r="AQ358" s="20">
        <v>0.33879999999999999</v>
      </c>
      <c r="AR358" s="20">
        <v>1.0568</v>
      </c>
      <c r="AS358" s="20">
        <v>-0.8609</v>
      </c>
      <c r="AT358" s="20">
        <v>6.1899999999999997E-2</v>
      </c>
      <c r="AU358" s="20">
        <v>0.91169999999999995</v>
      </c>
      <c r="AV358" s="20">
        <v>0.1164</v>
      </c>
      <c r="AW358" s="6"/>
      <c r="AX358" s="18">
        <v>0.24229999999999999</v>
      </c>
      <c r="AY358" s="18">
        <v>0.97660000000000002</v>
      </c>
      <c r="AZ358" s="18">
        <v>0.47889999999999999</v>
      </c>
      <c r="BA358" s="18">
        <v>2.4490000000000001E-2</v>
      </c>
      <c r="BB358" s="18">
        <v>0.1129</v>
      </c>
      <c r="BC358" s="18">
        <v>0.90449999999999997</v>
      </c>
      <c r="BD358" s="18">
        <v>5.0990000000000001E-2</v>
      </c>
      <c r="BE358" s="18">
        <v>0.80469999999999997</v>
      </c>
      <c r="BF358" s="13"/>
      <c r="BG358" t="s">
        <v>1111</v>
      </c>
      <c r="BH358" t="s">
        <v>1283</v>
      </c>
      <c r="BI358" t="s">
        <v>1282</v>
      </c>
      <c r="BJ358" t="s">
        <v>1251</v>
      </c>
      <c r="BK358" t="s">
        <v>1151</v>
      </c>
      <c r="BL358" t="s">
        <v>1163</v>
      </c>
      <c r="BM358" t="s">
        <v>1117</v>
      </c>
      <c r="BN358" s="13"/>
      <c r="BO358" t="s">
        <v>973</v>
      </c>
      <c r="BP358" t="s">
        <v>973</v>
      </c>
      <c r="BQ358" t="s">
        <v>973</v>
      </c>
      <c r="BR358" t="s">
        <v>973</v>
      </c>
    </row>
    <row r="359" spans="1:70" x14ac:dyDescent="0.25">
      <c r="A359" t="s">
        <v>318</v>
      </c>
      <c r="B359" t="s">
        <v>319</v>
      </c>
      <c r="C359" t="s">
        <v>320</v>
      </c>
      <c r="D359" s="6"/>
      <c r="E359" s="9" t="str">
        <f>HYPERLINK("http://plants.ensembl.org/Triticum_aestivum/Gene/Summary?g=TRIAE_CS42_3AL_TGACv1_195097_AA0644720","TRIAE_CS42_3AL_TGACv1_195097_AA0644720")</f>
        <v>TRIAE_CS42_3AL_TGACv1_195097_AA0644720</v>
      </c>
      <c r="F359" s="9" t="str">
        <f>HYPERLINK("http://mar2016-plants.ensembl.org/Triticum_aestivum/Gene/Summary?db=core;g=Traes_3AL_14A36F545","Traes_3AL_14A36F545")</f>
        <v>Traes_3AL_14A36F545</v>
      </c>
      <c r="H359" s="8" t="str">
        <f>HYPERLINK("http://plants.ensembl.org/Brachypodium_distachyon/Gene/Summary?g=Bradi2g50280","Bradi2g50280")</f>
        <v>Bradi2g50280</v>
      </c>
      <c r="I359" s="8" t="str">
        <f>HYPERLINK("http://plants.ensembl.org/Arabidopsis_thaliana/Gene/Summary?g=AT1G78440","AT1G78440")</f>
        <v>AT1G78440</v>
      </c>
      <c r="J359" s="9" t="str">
        <f>HYPERLINK("http://plants.ensembl.org/Oryza_sativa/Gene/Summary?db=otherfeatures;g=LOC_Os01g55240","LOC_Os01g55240")</f>
        <v>LOC_Os01g55240</v>
      </c>
      <c r="L359" s="6"/>
      <c r="M359" s="1" t="s">
        <v>973</v>
      </c>
      <c r="N359" s="1" t="s">
        <v>973</v>
      </c>
      <c r="O359" s="1" t="s">
        <v>973</v>
      </c>
      <c r="P359" s="1" t="s">
        <v>973</v>
      </c>
      <c r="Q359" s="1" t="s">
        <v>973</v>
      </c>
      <c r="R359" s="1">
        <v>1</v>
      </c>
      <c r="S359" s="1"/>
      <c r="T359" s="6"/>
      <c r="U359" s="11">
        <v>9.2233826461476625</v>
      </c>
      <c r="V359" s="11">
        <v>9.6430163569756644</v>
      </c>
      <c r="W359" s="11">
        <v>6.2356051709521054</v>
      </c>
      <c r="X359" s="11">
        <v>7.0016277488333616</v>
      </c>
      <c r="Y359" s="11">
        <v>6.9732886763522517</v>
      </c>
      <c r="Z359" s="11">
        <v>6.6602954568358248</v>
      </c>
      <c r="AA359" s="11">
        <v>6.1180918123457957</v>
      </c>
      <c r="AB359" s="11">
        <v>6.7671661375976022</v>
      </c>
      <c r="AC359" s="11">
        <v>4.959522885514934</v>
      </c>
      <c r="AD359" s="11">
        <v>7.5302799128463906</v>
      </c>
      <c r="AE359" s="11">
        <v>3.9597454301488546</v>
      </c>
      <c r="AF359" s="11">
        <v>6.4389376391777375</v>
      </c>
      <c r="AG359" s="11">
        <v>3.7488655030919009</v>
      </c>
      <c r="AH359" s="11">
        <v>5.5847681245455698</v>
      </c>
      <c r="AI359" s="11">
        <v>3.9850419253172285</v>
      </c>
      <c r="AJ359" s="11">
        <v>6.1608220587836033</v>
      </c>
      <c r="AK359" s="6"/>
      <c r="AL359" t="s">
        <v>1104</v>
      </c>
      <c r="AM359">
        <v>0</v>
      </c>
      <c r="AN359" s="6"/>
      <c r="AO359" s="20">
        <v>4.29</v>
      </c>
      <c r="AP359" s="20">
        <v>2.0773000000000001</v>
      </c>
      <c r="AQ359" s="20">
        <v>2.3045</v>
      </c>
      <c r="AR359" s="20">
        <v>0.54920000000000002</v>
      </c>
      <c r="AS359" s="20">
        <v>3.2793000000000001</v>
      </c>
      <c r="AT359" s="20">
        <v>1.0691999999999999</v>
      </c>
      <c r="AU359" s="20">
        <v>2.1671</v>
      </c>
      <c r="AV359" s="20">
        <v>0.60640000000000005</v>
      </c>
      <c r="AW359" s="6"/>
      <c r="AX359" s="18">
        <v>1.2659999999999999E-20</v>
      </c>
      <c r="AY359" s="18">
        <v>4.2690000000000001E-6</v>
      </c>
      <c r="AZ359" s="18">
        <v>1.6270000000000001E-6</v>
      </c>
      <c r="BA359" s="18">
        <v>0.21970000000000001</v>
      </c>
      <c r="BB359" s="18">
        <v>3.3760000000000002E-12</v>
      </c>
      <c r="BC359" s="18">
        <v>1.8669999999999999E-2</v>
      </c>
      <c r="BD359" s="18">
        <v>5.8969999999999996E-6</v>
      </c>
      <c r="BE359" s="18">
        <v>0.1772</v>
      </c>
      <c r="BF359" s="13"/>
      <c r="BG359" t="s">
        <v>1143</v>
      </c>
      <c r="BH359" t="s">
        <v>1132</v>
      </c>
      <c r="BI359" t="s">
        <v>1292</v>
      </c>
      <c r="BJ359" t="s">
        <v>1114</v>
      </c>
      <c r="BK359" t="s">
        <v>1151</v>
      </c>
      <c r="BL359" t="s">
        <v>1116</v>
      </c>
      <c r="BM359" t="s">
        <v>1117</v>
      </c>
      <c r="BN359" s="13"/>
      <c r="BO359" t="s">
        <v>973</v>
      </c>
      <c r="BP359" t="s">
        <v>973</v>
      </c>
      <c r="BQ359" t="s">
        <v>973</v>
      </c>
      <c r="BR359" t="s">
        <v>973</v>
      </c>
    </row>
    <row r="360" spans="1:70" x14ac:dyDescent="0.25">
      <c r="A360" t="s">
        <v>383</v>
      </c>
      <c r="B360" t="s">
        <v>384</v>
      </c>
      <c r="C360" t="s">
        <v>320</v>
      </c>
      <c r="D360" s="6"/>
      <c r="E360" s="9" t="str">
        <f>HYPERLINK("http://plants.ensembl.org/Triticum_aestivum/Gene/Summary?g=TRIAE_CS42_3B_TGACv1_222891_AA0772640","TRIAE_CS42_3B_TGACv1_222891_AA0772640")</f>
        <v>TRIAE_CS42_3B_TGACv1_222891_AA0772640</v>
      </c>
      <c r="F360" s="9" t="str">
        <f>HYPERLINK("http://mar2016-plants.ensembl.org/Triticum_aestivum/Gene/Summary?db=core;g=TRAES3BF090300180CFD","TRAES3BF090300180CFD")</f>
        <v>TRAES3BF090300180CFD</v>
      </c>
      <c r="H360" s="8" t="str">
        <f>HYPERLINK("http://plants.ensembl.org/Brachypodium_distachyon/Gene/Summary?g=Bradi2g50280","Bradi2g50280")</f>
        <v>Bradi2g50280</v>
      </c>
      <c r="I360" s="8" t="str">
        <f>HYPERLINK("http://plants.ensembl.org/Arabidopsis_thaliana/Gene/Summary?g=AT1G78440","AT1G78440")</f>
        <v>AT1G78440</v>
      </c>
      <c r="J360" s="9" t="str">
        <f>HYPERLINK("http://plants.ensembl.org/Oryza_sativa/Gene/Summary?db=otherfeatures;g=LOC_Os01g55240","LOC_Os01g55240")</f>
        <v>LOC_Os01g55240</v>
      </c>
      <c r="L360" s="6"/>
      <c r="M360" s="1" t="s">
        <v>973</v>
      </c>
      <c r="N360" s="1" t="s">
        <v>973</v>
      </c>
      <c r="O360" s="1" t="s">
        <v>973</v>
      </c>
      <c r="P360" s="1" t="s">
        <v>973</v>
      </c>
      <c r="Q360" s="1" t="s">
        <v>973</v>
      </c>
      <c r="R360" s="1">
        <v>1</v>
      </c>
      <c r="S360" s="1"/>
      <c r="T360" s="6"/>
      <c r="U360" s="11">
        <v>10.214255485373659</v>
      </c>
      <c r="V360" s="11">
        <v>10.515303009728605</v>
      </c>
      <c r="W360" s="11">
        <v>7.6748744291991349</v>
      </c>
      <c r="X360" s="11">
        <v>8.8684678293509229</v>
      </c>
      <c r="Y360" s="11">
        <v>8.2435892738514571</v>
      </c>
      <c r="Z360" s="11">
        <v>8.1432462939050438</v>
      </c>
      <c r="AA360" s="11">
        <v>7.229990964864796</v>
      </c>
      <c r="AB360" s="11">
        <v>8.0215326578307984</v>
      </c>
      <c r="AC360" s="11">
        <v>3.6852636681852955</v>
      </c>
      <c r="AD360" s="11">
        <v>6.7428582239576977</v>
      </c>
      <c r="AE360" s="11">
        <v>4.24422491105285</v>
      </c>
      <c r="AF360" s="11">
        <v>6.7056779999925471</v>
      </c>
      <c r="AG360" s="11">
        <v>4.1049097097171696</v>
      </c>
      <c r="AH360" s="11">
        <v>5.7329583586890669</v>
      </c>
      <c r="AI360" s="11">
        <v>2.8334636034164271</v>
      </c>
      <c r="AJ360" s="11">
        <v>5.6927024385224989</v>
      </c>
      <c r="AK360" s="6"/>
      <c r="AL360" t="s">
        <v>1077</v>
      </c>
      <c r="AM360">
        <v>7</v>
      </c>
      <c r="AN360" s="6"/>
      <c r="AO360" s="20">
        <v>6.6158999999999999</v>
      </c>
      <c r="AP360" s="20">
        <v>3.7250999999999999</v>
      </c>
      <c r="AQ360" s="20">
        <v>3.4302000000000001</v>
      </c>
      <c r="AR360" s="20">
        <v>2.1360999999999999</v>
      </c>
      <c r="AS360" s="20">
        <v>4.1547999999999998</v>
      </c>
      <c r="AT360" s="20">
        <v>2.3959000000000001</v>
      </c>
      <c r="AU360" s="20">
        <v>4.5026000000000002</v>
      </c>
      <c r="AV360" s="20">
        <v>2.3187000000000002</v>
      </c>
      <c r="AW360" s="6"/>
      <c r="AX360" s="18">
        <v>8.687E-32</v>
      </c>
      <c r="AY360" s="18">
        <v>3.0960000000000001E-12</v>
      </c>
      <c r="AZ360" s="18">
        <v>2.7680000000000002E-10</v>
      </c>
      <c r="BA360" s="18">
        <v>4.1619999999999998E-5</v>
      </c>
      <c r="BB360" s="18">
        <v>9.9509999999999994E-15</v>
      </c>
      <c r="BC360" s="18">
        <v>5.4770000000000002E-6</v>
      </c>
      <c r="BD360" s="18">
        <v>1.6969999999999999E-14</v>
      </c>
      <c r="BE360" s="18">
        <v>1.0550000000000001E-5</v>
      </c>
      <c r="BF360" s="13"/>
      <c r="BG360" t="s">
        <v>1131</v>
      </c>
      <c r="BH360" t="s">
        <v>1132</v>
      </c>
      <c r="BI360" t="s">
        <v>1113</v>
      </c>
      <c r="BJ360" t="s">
        <v>1114</v>
      </c>
      <c r="BK360" t="s">
        <v>1228</v>
      </c>
      <c r="BL360" t="s">
        <v>1116</v>
      </c>
      <c r="BM360" t="s">
        <v>1117</v>
      </c>
      <c r="BN360" s="13"/>
      <c r="BO360" t="s">
        <v>973</v>
      </c>
      <c r="BP360" t="s">
        <v>973</v>
      </c>
      <c r="BQ360" t="s">
        <v>973</v>
      </c>
      <c r="BR360" t="s">
        <v>973</v>
      </c>
    </row>
    <row r="361" spans="1:70" x14ac:dyDescent="0.25">
      <c r="A361" t="s">
        <v>416</v>
      </c>
      <c r="B361" t="s">
        <v>417</v>
      </c>
      <c r="C361" t="s">
        <v>320</v>
      </c>
      <c r="D361" s="6"/>
      <c r="E361" s="9" t="str">
        <f>HYPERLINK("http://plants.ensembl.org/Triticum_aestivum/Gene/Summary?g=TRIAE_CS42_3DS_TGACv1_273136_AA0928740","TRIAE_CS42_3DS_TGACv1_273136_AA0928740")</f>
        <v>TRIAE_CS42_3DS_TGACv1_273136_AA0928740</v>
      </c>
      <c r="H361" s="8" t="str">
        <f>HYPERLINK("http://plants.ensembl.org/Brachypodium_distachyon/Gene/Summary?g=Bradi2g06670","Bradi2g06670")</f>
        <v>Bradi2g06670</v>
      </c>
      <c r="I361" s="1" t="s">
        <v>1051</v>
      </c>
      <c r="J361" s="9" t="str">
        <f>HYPERLINK("http://plants.ensembl.org/Oryza_sativa/Gene/Summary?db=otherfeatures;g=LOC_Os01g11150","LOC_Os01g11150")</f>
        <v>LOC_Os01g11150</v>
      </c>
      <c r="L361" s="6"/>
      <c r="M361" s="1" t="s">
        <v>973</v>
      </c>
      <c r="N361" s="1" t="s">
        <v>973</v>
      </c>
      <c r="O361" s="1" t="s">
        <v>973</v>
      </c>
      <c r="P361" s="1" t="s">
        <v>973</v>
      </c>
      <c r="Q361" s="1" t="s">
        <v>973</v>
      </c>
      <c r="R361" s="1">
        <v>1</v>
      </c>
      <c r="S361" s="1"/>
      <c r="T361" s="6"/>
      <c r="U361" s="11">
        <v>7.6886258855690857</v>
      </c>
      <c r="V361" s="11">
        <v>8.8067490561583472</v>
      </c>
      <c r="W361" s="11">
        <v>5.7100863985748944</v>
      </c>
      <c r="X361" s="11">
        <v>7.3379292874143847</v>
      </c>
      <c r="Y361" s="11">
        <v>5.3739404788422007</v>
      </c>
      <c r="Z361" s="11">
        <v>6.2431536681522237</v>
      </c>
      <c r="AA361" s="11">
        <v>6.4473466627980445</v>
      </c>
      <c r="AB361" s="11">
        <v>6.5291410750588756</v>
      </c>
      <c r="AC361" s="11">
        <v>4.2855107251779581</v>
      </c>
      <c r="AD361" s="11">
        <v>5.9273845000115024</v>
      </c>
      <c r="AE361" s="11">
        <v>4.5382567154590374</v>
      </c>
      <c r="AF361" s="11">
        <v>5.1045099964798641</v>
      </c>
      <c r="AG361" s="11">
        <v>3.8724183783513793</v>
      </c>
      <c r="AH361" s="11">
        <v>5.1874220203552888</v>
      </c>
      <c r="AI361" s="11">
        <v>4.5509519540885188</v>
      </c>
      <c r="AJ361" s="11">
        <v>5.1597785170486592</v>
      </c>
      <c r="AK361" s="6"/>
      <c r="AL361" t="s">
        <v>1104</v>
      </c>
      <c r="AM361">
        <v>0</v>
      </c>
      <c r="AN361" s="6"/>
      <c r="AO361" s="20">
        <v>3.4679000000000002</v>
      </c>
      <c r="AP361" s="20">
        <v>2.8660000000000001</v>
      </c>
      <c r="AQ361" s="20">
        <v>1.1874</v>
      </c>
      <c r="AR361" s="20">
        <v>2.2088000000000001</v>
      </c>
      <c r="AS361" s="20">
        <v>1.5266</v>
      </c>
      <c r="AT361" s="20">
        <v>1.0651999999999999</v>
      </c>
      <c r="AU361" s="20">
        <v>1.9125000000000001</v>
      </c>
      <c r="AV361" s="20">
        <v>1.37</v>
      </c>
      <c r="AW361" s="6"/>
      <c r="AX361" s="18">
        <v>1.139E-8</v>
      </c>
      <c r="AY361" s="18">
        <v>2.2419999999999999E-6</v>
      </c>
      <c r="AZ361" s="18">
        <v>4.8099999999999997E-2</v>
      </c>
      <c r="BA361" s="18">
        <v>1.852E-4</v>
      </c>
      <c r="BB361" s="18">
        <v>1.183E-2</v>
      </c>
      <c r="BC361" s="18">
        <v>7.2450000000000001E-2</v>
      </c>
      <c r="BD361" s="18">
        <v>1.338E-3</v>
      </c>
      <c r="BE361" s="18">
        <v>2.0469999999999999E-2</v>
      </c>
      <c r="BF361" s="13"/>
      <c r="BG361" t="s">
        <v>1299</v>
      </c>
      <c r="BH361" t="s">
        <v>1281</v>
      </c>
      <c r="BI361" t="s">
        <v>1113</v>
      </c>
      <c r="BJ361" t="s">
        <v>1316</v>
      </c>
      <c r="BK361" t="s">
        <v>1115</v>
      </c>
      <c r="BL361" t="s">
        <v>1116</v>
      </c>
      <c r="BM361" t="s">
        <v>1117</v>
      </c>
      <c r="BN361" s="13"/>
      <c r="BO361" t="s">
        <v>973</v>
      </c>
      <c r="BP361" t="s">
        <v>973</v>
      </c>
      <c r="BQ361" t="s">
        <v>973</v>
      </c>
      <c r="BR361" t="s">
        <v>973</v>
      </c>
    </row>
    <row r="362" spans="1:70" x14ac:dyDescent="0.25">
      <c r="A362" t="s">
        <v>427</v>
      </c>
      <c r="B362" t="s">
        <v>428</v>
      </c>
      <c r="C362" t="s">
        <v>320</v>
      </c>
      <c r="D362" s="6"/>
      <c r="E362" s="9" t="str">
        <f>HYPERLINK("http://plants.ensembl.org/Triticum_aestivum/Gene/Summary?g=TRIAE_CS42_3DL_TGACv1_250562_AA0870310","TRIAE_CS42_3DL_TGACv1_250562_AA0870310")</f>
        <v>TRIAE_CS42_3DL_TGACv1_250562_AA0870310</v>
      </c>
      <c r="F362" s="9" t="str">
        <f>HYPERLINK("http://mar2016-plants.ensembl.org/Triticum_aestivum/Gene/Summary?db=core;g=Traes_3DL_857F47A93","Traes_3DL_857F47A93")</f>
        <v>Traes_3DL_857F47A93</v>
      </c>
      <c r="H362" s="8" t="str">
        <f>HYPERLINK("http://plants.ensembl.org/Brachypodium_distachyon/Gene/Summary?g=Bradi2g50280","Bradi2g50280")</f>
        <v>Bradi2g50280</v>
      </c>
      <c r="I362" s="8" t="str">
        <f>HYPERLINK("http://plants.ensembl.org/Arabidopsis_thaliana/Gene/Summary?g=AT1G78440","AT1G78440")</f>
        <v>AT1G78440</v>
      </c>
      <c r="J362" s="9" t="str">
        <f>HYPERLINK("http://plants.ensembl.org/Oryza_sativa/Gene/Summary?db=otherfeatures;g=LOC_Os01g55240","LOC_Os01g55240")</f>
        <v>LOC_Os01g55240</v>
      </c>
      <c r="L362" s="6"/>
      <c r="M362" s="1" t="s">
        <v>973</v>
      </c>
      <c r="N362" s="1" t="s">
        <v>973</v>
      </c>
      <c r="O362" s="1" t="s">
        <v>973</v>
      </c>
      <c r="P362" s="1" t="s">
        <v>973</v>
      </c>
      <c r="Q362" s="1" t="s">
        <v>973</v>
      </c>
      <c r="R362" s="1">
        <v>1</v>
      </c>
      <c r="S362" s="1"/>
      <c r="T362" s="6"/>
      <c r="U362" s="11">
        <v>8.4727184542530196</v>
      </c>
      <c r="V362" s="11">
        <v>8.7872803037805358</v>
      </c>
      <c r="W362" s="11">
        <v>5.5305826882292743</v>
      </c>
      <c r="X362" s="11">
        <v>5.8336044353151779</v>
      </c>
      <c r="Y362" s="11">
        <v>6.4159766359771444</v>
      </c>
      <c r="Z362" s="11">
        <v>5.8336963481222632</v>
      </c>
      <c r="AA362" s="11">
        <v>6.1892994277270272</v>
      </c>
      <c r="AB362" s="11">
        <v>6.0795807825209272</v>
      </c>
      <c r="AC362" s="11">
        <v>5.193282878652429</v>
      </c>
      <c r="AD362" s="11">
        <v>6.1002025654724479</v>
      </c>
      <c r="AE362" s="11">
        <v>3.7010980287361974</v>
      </c>
      <c r="AF362" s="11">
        <v>4.7703374947605672</v>
      </c>
      <c r="AG362" s="11">
        <v>4.36690966497153</v>
      </c>
      <c r="AH362" s="11">
        <v>4.5215282050208234</v>
      </c>
      <c r="AI362" s="11">
        <v>4.5597793446306429</v>
      </c>
      <c r="AJ362" s="11">
        <v>5.075673813275551</v>
      </c>
      <c r="AK362" s="6"/>
      <c r="AL362" t="s">
        <v>1077</v>
      </c>
      <c r="AM362">
        <v>0</v>
      </c>
      <c r="AN362" s="6"/>
      <c r="AO362" s="20">
        <v>3.3010000000000002</v>
      </c>
      <c r="AP362" s="20">
        <v>2.5762</v>
      </c>
      <c r="AQ362" s="20">
        <v>1.875</v>
      </c>
      <c r="AR362" s="20">
        <v>1.0492999999999999</v>
      </c>
      <c r="AS362" s="20">
        <v>2.0811999999999999</v>
      </c>
      <c r="AT362" s="20">
        <v>1.3205</v>
      </c>
      <c r="AU362" s="20">
        <v>1.6480999999999999</v>
      </c>
      <c r="AV362" s="20">
        <v>1.0130999999999999</v>
      </c>
      <c r="AW362" s="6"/>
      <c r="AX362" s="18">
        <v>2.606E-12</v>
      </c>
      <c r="AY362" s="18">
        <v>9.3089999999999995E-8</v>
      </c>
      <c r="AZ362" s="18">
        <v>2.017E-4</v>
      </c>
      <c r="BA362" s="18">
        <v>2.954E-2</v>
      </c>
      <c r="BB362" s="18">
        <v>1.189E-5</v>
      </c>
      <c r="BC362" s="18">
        <v>6.6189999999999999E-3</v>
      </c>
      <c r="BD362" s="18">
        <v>5.7059999999999999E-4</v>
      </c>
      <c r="BE362" s="18">
        <v>3.286E-2</v>
      </c>
      <c r="BF362" s="13"/>
      <c r="BG362" t="s">
        <v>1191</v>
      </c>
      <c r="BH362" t="s">
        <v>1132</v>
      </c>
      <c r="BI362" t="s">
        <v>1113</v>
      </c>
      <c r="BJ362" t="s">
        <v>1114</v>
      </c>
      <c r="BK362" t="s">
        <v>1115</v>
      </c>
      <c r="BL362" t="s">
        <v>1116</v>
      </c>
      <c r="BM362" t="s">
        <v>1117</v>
      </c>
      <c r="BN362" s="13"/>
      <c r="BO362" t="s">
        <v>973</v>
      </c>
      <c r="BP362" t="s">
        <v>973</v>
      </c>
      <c r="BQ362">
        <v>1</v>
      </c>
      <c r="BR362" t="s">
        <v>973</v>
      </c>
    </row>
    <row r="363" spans="1:70" x14ac:dyDescent="0.25">
      <c r="A363" t="s">
        <v>299</v>
      </c>
      <c r="B363" t="s">
        <v>300</v>
      </c>
      <c r="C363" t="s">
        <v>301</v>
      </c>
      <c r="D363" s="6"/>
      <c r="E363" s="9" t="str">
        <f>HYPERLINK("http://plants.ensembl.org/Triticum_aestivum/Gene/Summary?g=TRIAE_CS42_3AS_TGACv1_212549_AA0701660","TRIAE_CS42_3AS_TGACv1_212549_AA0701660")</f>
        <v>TRIAE_CS42_3AS_TGACv1_212549_AA0701660</v>
      </c>
      <c r="H363" s="8" t="str">
        <f>HYPERLINK("http://plants.ensembl.org/Brachypodium_distachyon/Gene/Summary?g=Bradi2g06670","Bradi2g06670")</f>
        <v>Bradi2g06670</v>
      </c>
      <c r="I363" s="1" t="s">
        <v>1051</v>
      </c>
      <c r="J363" s="9" t="str">
        <f>HYPERLINK("http://plants.ensembl.org/Oryza_sativa/Gene/Summary?db=otherfeatures;g=LOC_Os01g11150","LOC_Os01g11150")</f>
        <v>LOC_Os01g11150</v>
      </c>
      <c r="L363" s="6"/>
      <c r="M363" s="1" t="s">
        <v>973</v>
      </c>
      <c r="N363" s="1" t="s">
        <v>973</v>
      </c>
      <c r="O363" s="1" t="s">
        <v>973</v>
      </c>
      <c r="P363" s="1" t="s">
        <v>973</v>
      </c>
      <c r="Q363" s="1" t="s">
        <v>973</v>
      </c>
      <c r="R363" s="1">
        <v>1</v>
      </c>
      <c r="S363" s="1"/>
      <c r="T363" s="6"/>
      <c r="U363" s="11">
        <v>6.5025279212001514</v>
      </c>
      <c r="V363" s="11">
        <v>7.6848661815458614</v>
      </c>
      <c r="W363" s="11">
        <v>5.6771398635612389</v>
      </c>
      <c r="X363" s="11">
        <v>6.6565940914321313</v>
      </c>
      <c r="Y363" s="11">
        <v>5.1796463961063539</v>
      </c>
      <c r="Z363" s="11">
        <v>5.801552738823184</v>
      </c>
      <c r="AA363" s="11">
        <v>6.1883916927602991</v>
      </c>
      <c r="AB363" s="11">
        <v>5.3947187699026999</v>
      </c>
      <c r="AC363" s="11">
        <v>4.6745077312223433</v>
      </c>
      <c r="AD363" s="11">
        <v>6.6412796415287509</v>
      </c>
      <c r="AE363" s="11">
        <v>5.4536745046459583</v>
      </c>
      <c r="AF363" s="11">
        <v>5.171835307073307</v>
      </c>
      <c r="AG363" s="11">
        <v>4.7338857619520232</v>
      </c>
      <c r="AH363" s="11">
        <v>5.5544558311089958</v>
      </c>
      <c r="AI363" s="11">
        <v>4.8094847593277068</v>
      </c>
      <c r="AJ363" s="11">
        <v>5.2609339566219173</v>
      </c>
      <c r="AK363" s="6"/>
      <c r="AL363" t="s">
        <v>1104</v>
      </c>
      <c r="AM363">
        <v>0</v>
      </c>
      <c r="AN363" s="6"/>
      <c r="AO363" s="20">
        <v>1.9118999999999999</v>
      </c>
      <c r="AP363" s="20">
        <v>1.0523</v>
      </c>
      <c r="AQ363" s="20">
        <v>0.22470000000000001</v>
      </c>
      <c r="AR363" s="20">
        <v>1.4867999999999999</v>
      </c>
      <c r="AS363" s="20">
        <v>0.45960000000000001</v>
      </c>
      <c r="AT363" s="20">
        <v>0.25829999999999997</v>
      </c>
      <c r="AU363" s="20">
        <v>1.3997999999999999</v>
      </c>
      <c r="AV363" s="20">
        <v>0.13450000000000001</v>
      </c>
      <c r="AW363" s="6"/>
      <c r="AX363" s="18">
        <v>4.797E-4</v>
      </c>
      <c r="AY363" s="18">
        <v>5.1810000000000002E-2</v>
      </c>
      <c r="AZ363" s="18">
        <v>0.67090000000000005</v>
      </c>
      <c r="BA363" s="18">
        <v>4.9550000000000002E-3</v>
      </c>
      <c r="BB363" s="18">
        <v>0.39190000000000003</v>
      </c>
      <c r="BC363" s="18">
        <v>0.62519999999999998</v>
      </c>
      <c r="BD363" s="18">
        <v>8.4180000000000001E-3</v>
      </c>
      <c r="BE363" s="18">
        <v>0.80149999999999999</v>
      </c>
      <c r="BF363" s="13"/>
      <c r="BG363" t="s">
        <v>1153</v>
      </c>
      <c r="BH363" t="s">
        <v>1269</v>
      </c>
      <c r="BI363" t="s">
        <v>1113</v>
      </c>
      <c r="BJ363" t="s">
        <v>1114</v>
      </c>
      <c r="BK363" t="s">
        <v>1115</v>
      </c>
      <c r="BL363" t="s">
        <v>1116</v>
      </c>
      <c r="BM363" t="s">
        <v>1117</v>
      </c>
      <c r="BN363" s="13"/>
      <c r="BO363" t="s">
        <v>973</v>
      </c>
      <c r="BP363" t="s">
        <v>973</v>
      </c>
      <c r="BQ363" t="s">
        <v>973</v>
      </c>
      <c r="BR363" t="s">
        <v>973</v>
      </c>
    </row>
    <row r="364" spans="1:70" x14ac:dyDescent="0.25">
      <c r="A364" t="s">
        <v>371</v>
      </c>
      <c r="B364" t="s">
        <v>300</v>
      </c>
      <c r="C364" t="s">
        <v>301</v>
      </c>
      <c r="D364" s="6"/>
      <c r="E364" s="9" t="str">
        <f>HYPERLINK("http://plants.ensembl.org/Triticum_aestivum/Gene/Summary?g=TRIAE_CS42_3B_TGACv1_223452_AA0782440","TRIAE_CS42_3B_TGACv1_223452_AA0782440")</f>
        <v>TRIAE_CS42_3B_TGACv1_223452_AA0782440</v>
      </c>
      <c r="F364" s="9" t="str">
        <f>HYPERLINK("http://mar2016-plants.ensembl.org/Triticum_aestivum/Gene/Summary?db=core;g=TRAES3BF118400050CFD","TRAES3BF118400050CFD")</f>
        <v>TRAES3BF118400050CFD</v>
      </c>
      <c r="H364" s="8" t="str">
        <f>HYPERLINK("http://plants.ensembl.org/Brachypodium_distachyon/Gene/Summary?g=Bradi2g06670","Bradi2g06670")</f>
        <v>Bradi2g06670</v>
      </c>
      <c r="I364" s="1" t="s">
        <v>1051</v>
      </c>
      <c r="J364" s="9" t="str">
        <f>HYPERLINK("http://plants.ensembl.org/Oryza_sativa/Gene/Summary?db=otherfeatures;g=LOC_Os01g11150","LOC_Os01g11150")</f>
        <v>LOC_Os01g11150</v>
      </c>
      <c r="L364" s="6"/>
      <c r="M364" s="1" t="s">
        <v>973</v>
      </c>
      <c r="N364" s="1" t="s">
        <v>973</v>
      </c>
      <c r="O364" s="1" t="s">
        <v>973</v>
      </c>
      <c r="P364" s="1" t="s">
        <v>973</v>
      </c>
      <c r="Q364" s="1" t="s">
        <v>973</v>
      </c>
      <c r="R364" s="1">
        <v>1</v>
      </c>
      <c r="S364" s="1"/>
      <c r="T364" s="6"/>
      <c r="U364" s="11">
        <v>8.1808887949564539</v>
      </c>
      <c r="V364" s="11">
        <v>10.109104554445835</v>
      </c>
      <c r="W364" s="11">
        <v>6.537752661864884</v>
      </c>
      <c r="X364" s="11">
        <v>8.2301261413780775</v>
      </c>
      <c r="Y364" s="11">
        <v>5.8160202254136824</v>
      </c>
      <c r="Z364" s="11">
        <v>7.0983384914831813</v>
      </c>
      <c r="AA364" s="11">
        <v>7.4463872025651927</v>
      </c>
      <c r="AB364" s="11">
        <v>7.5396683182470747</v>
      </c>
      <c r="AC364" s="11">
        <v>5.1082651665440437</v>
      </c>
      <c r="AD364" s="11">
        <v>7.7402561426708472</v>
      </c>
      <c r="AE364" s="11">
        <v>4.3371996605161272</v>
      </c>
      <c r="AF364" s="11">
        <v>5.8232330493662126</v>
      </c>
      <c r="AG364" s="11">
        <v>3.170827739177597</v>
      </c>
      <c r="AH364" s="11">
        <v>5.9922200662020106</v>
      </c>
      <c r="AI364" s="11">
        <v>5.0155079766107962</v>
      </c>
      <c r="AJ364" s="11">
        <v>6.9234895256897335</v>
      </c>
      <c r="AK364" s="6"/>
      <c r="AL364" t="s">
        <v>1104</v>
      </c>
      <c r="AM364">
        <v>0</v>
      </c>
      <c r="AN364" s="6"/>
      <c r="AO364" s="20">
        <v>3.0792000000000002</v>
      </c>
      <c r="AP364" s="20">
        <v>2.3325999999999998</v>
      </c>
      <c r="AQ364" s="20">
        <v>2.2092999999999998</v>
      </c>
      <c r="AR364" s="20">
        <v>2.3717000000000001</v>
      </c>
      <c r="AS364" s="20">
        <v>2.7103000000000002</v>
      </c>
      <c r="AT364" s="20">
        <v>1.1006</v>
      </c>
      <c r="AU364" s="20">
        <v>2.4253</v>
      </c>
      <c r="AV364" s="20">
        <v>0.60919999999999996</v>
      </c>
      <c r="AW364" s="6"/>
      <c r="AX364" s="18">
        <v>5.3539999999999999E-7</v>
      </c>
      <c r="AY364" s="18">
        <v>1.177E-4</v>
      </c>
      <c r="AZ364" s="18">
        <v>3.7120000000000002E-4</v>
      </c>
      <c r="BA364" s="18">
        <v>8.8599999999999999E-5</v>
      </c>
      <c r="BB364" s="18">
        <v>2.0659999999999999E-5</v>
      </c>
      <c r="BC364" s="18">
        <v>6.9190000000000002E-2</v>
      </c>
      <c r="BD364" s="18">
        <v>6.991E-5</v>
      </c>
      <c r="BE364" s="18">
        <v>0.31090000000000001</v>
      </c>
      <c r="BF364" s="13"/>
      <c r="BG364" t="s">
        <v>1313</v>
      </c>
      <c r="BH364" t="s">
        <v>1318</v>
      </c>
      <c r="BI364" t="s">
        <v>1282</v>
      </c>
      <c r="BJ364" t="s">
        <v>1251</v>
      </c>
      <c r="BK364" t="s">
        <v>1154</v>
      </c>
      <c r="BL364" t="s">
        <v>1226</v>
      </c>
      <c r="BM364" t="s">
        <v>1117</v>
      </c>
      <c r="BN364" s="13"/>
      <c r="BO364" t="s">
        <v>973</v>
      </c>
      <c r="BP364" t="s">
        <v>973</v>
      </c>
      <c r="BQ364" t="s">
        <v>973</v>
      </c>
      <c r="BR364" t="s">
        <v>973</v>
      </c>
    </row>
    <row r="365" spans="1:70" x14ac:dyDescent="0.25">
      <c r="A365" t="s">
        <v>238</v>
      </c>
      <c r="B365" t="s">
        <v>239</v>
      </c>
      <c r="C365" t="s">
        <v>240</v>
      </c>
      <c r="D365" s="6"/>
      <c r="E365" s="9" t="str">
        <f>HYPERLINK("http://plants.ensembl.org/Triticum_aestivum/Gene/Summary?g=TRIAE_CS42_2BL_TGACv1_133400_AA0442430","TRIAE_CS42_2BL_TGACv1_133400_AA0442430")</f>
        <v>TRIAE_CS42_2BL_TGACv1_133400_AA0442430</v>
      </c>
      <c r="F365" s="9" t="str">
        <f>HYPERLINK("http://mar2016-plants.ensembl.org/Triticum_aestivum/Gene/Summary?db=core;g=Traes_2BL_9E115B19F","Traes_2BL_9E115B19F")</f>
        <v>Traes_2BL_9E115B19F</v>
      </c>
      <c r="H365" s="1" t="s">
        <v>1051</v>
      </c>
      <c r="I365" s="8" t="str">
        <f>HYPERLINK("http://plants.ensembl.org/Arabidopsis_thaliana/Gene/Summary?g=AT1G80330","AT1G80330")</f>
        <v>AT1G80330</v>
      </c>
      <c r="J365" s="1" t="s">
        <v>1051</v>
      </c>
      <c r="L365" s="6"/>
      <c r="M365" s="1" t="s">
        <v>973</v>
      </c>
      <c r="N365" s="1" t="s">
        <v>973</v>
      </c>
      <c r="O365" s="1" t="s">
        <v>973</v>
      </c>
      <c r="P365" s="1" t="s">
        <v>973</v>
      </c>
      <c r="Q365" s="1" t="s">
        <v>973</v>
      </c>
      <c r="R365" s="1">
        <v>1</v>
      </c>
      <c r="S365" s="1"/>
      <c r="T365" s="6"/>
      <c r="U365" s="11">
        <v>1.2188431512018738</v>
      </c>
      <c r="V365" s="11">
        <v>6.1362132650269317</v>
      </c>
      <c r="W365" s="11">
        <v>0.99588244883200594</v>
      </c>
      <c r="X365" s="11">
        <v>5.2635127202023906</v>
      </c>
      <c r="Y365" s="11">
        <v>2.1712175045177755</v>
      </c>
      <c r="Z365" s="11">
        <v>7.3657709702949736</v>
      </c>
      <c r="AA365" s="11">
        <v>4.2580665983113297</v>
      </c>
      <c r="AB365" s="11">
        <v>6.8301255765304401</v>
      </c>
      <c r="AC365" s="11">
        <v>0.70425226909590755</v>
      </c>
      <c r="AD365" s="11">
        <v>7.1979960785743877</v>
      </c>
      <c r="AE365" s="11">
        <v>1.7053734277181998</v>
      </c>
      <c r="AF365" s="11">
        <v>3.3052993439353471</v>
      </c>
      <c r="AG365" s="11">
        <v>0.61324874380026617</v>
      </c>
      <c r="AH365" s="11">
        <v>7.9045483232961224</v>
      </c>
      <c r="AI365" s="11">
        <v>0</v>
      </c>
      <c r="AJ365" s="11">
        <v>5.548021430486803</v>
      </c>
      <c r="AK365" s="6"/>
      <c r="AL365" t="s">
        <v>1080</v>
      </c>
      <c r="AM365">
        <v>0</v>
      </c>
      <c r="AN365" s="6"/>
      <c r="AO365" s="20">
        <v>1.1995</v>
      </c>
      <c r="AP365" s="20">
        <v>-1.0892999999999999</v>
      </c>
      <c r="AQ365" s="20">
        <v>-1.0667</v>
      </c>
      <c r="AR365" s="20">
        <v>1.9723999999999999</v>
      </c>
      <c r="AS365" s="20">
        <v>2.4097</v>
      </c>
      <c r="AT365" s="20">
        <v>-0.51959999999999995</v>
      </c>
      <c r="AU365" s="20">
        <v>6.0159000000000002</v>
      </c>
      <c r="AV365" s="20">
        <v>1.2506999999999999</v>
      </c>
      <c r="AW365" s="6"/>
      <c r="AX365" s="18">
        <v>0.37540000000000001</v>
      </c>
      <c r="AY365" s="18">
        <v>0.24660000000000001</v>
      </c>
      <c r="AZ365" s="18">
        <v>0.35460000000000003</v>
      </c>
      <c r="BA365" s="18">
        <v>3.6999999999999998E-2</v>
      </c>
      <c r="BB365" s="18">
        <v>3.8580000000000003E-2</v>
      </c>
      <c r="BC365" s="18">
        <v>0.56799999999999995</v>
      </c>
      <c r="BD365" s="18">
        <v>5.8769999999999998E-6</v>
      </c>
      <c r="BE365" s="18">
        <v>0.1719</v>
      </c>
      <c r="BF365" s="13"/>
      <c r="BG365" t="s">
        <v>1111</v>
      </c>
      <c r="BH365" t="s">
        <v>1112</v>
      </c>
      <c r="BI365" t="s">
        <v>1180</v>
      </c>
      <c r="BJ365" t="s">
        <v>1257</v>
      </c>
      <c r="BK365" t="s">
        <v>1151</v>
      </c>
      <c r="BL365" t="s">
        <v>1116</v>
      </c>
      <c r="BM365" t="s">
        <v>1156</v>
      </c>
      <c r="BN365" s="13"/>
      <c r="BO365" t="s">
        <v>973</v>
      </c>
      <c r="BP365" t="s">
        <v>973</v>
      </c>
      <c r="BQ365" t="s">
        <v>973</v>
      </c>
      <c r="BR365" t="s">
        <v>973</v>
      </c>
    </row>
    <row r="366" spans="1:70" x14ac:dyDescent="0.25">
      <c r="A366" t="s">
        <v>241</v>
      </c>
      <c r="B366" t="s">
        <v>239</v>
      </c>
      <c r="C366" t="s">
        <v>240</v>
      </c>
      <c r="D366" s="6"/>
      <c r="E366" s="9" t="str">
        <f>HYPERLINK("http://plants.ensembl.org/Triticum_aestivum/Gene/Summary?g=TRIAE_CS42_2BL_TGACv1_133400_AA0442410","TRIAE_CS42_2BL_TGACv1_133400_AA0442410")</f>
        <v>TRIAE_CS42_2BL_TGACv1_133400_AA0442410</v>
      </c>
      <c r="F366" s="9" t="str">
        <f>HYPERLINK("http://mar2016-plants.ensembl.org/Triticum_aestivum/Gene/Summary?db=core;g=Traes_2BL_9E115B19F","Traes_2BL_9E115B19F")</f>
        <v>Traes_2BL_9E115B19F</v>
      </c>
      <c r="H366" s="1" t="s">
        <v>1051</v>
      </c>
      <c r="I366" s="1" t="s">
        <v>1051</v>
      </c>
      <c r="J366" s="1" t="s">
        <v>1051</v>
      </c>
      <c r="L366" s="6"/>
      <c r="M366" s="1" t="s">
        <v>973</v>
      </c>
      <c r="N366" s="1" t="s">
        <v>973</v>
      </c>
      <c r="O366" s="1" t="s">
        <v>973</v>
      </c>
      <c r="P366" s="1" t="s">
        <v>973</v>
      </c>
      <c r="Q366" s="1" t="s">
        <v>973</v>
      </c>
      <c r="R366" s="1">
        <v>1</v>
      </c>
      <c r="S366" s="1"/>
      <c r="T366" s="6"/>
      <c r="U366" s="11">
        <v>0.89672393222250424</v>
      </c>
      <c r="V366" s="11">
        <v>7.779672522871909</v>
      </c>
      <c r="W366" s="11">
        <v>1.5705924601194026</v>
      </c>
      <c r="X366" s="11">
        <v>4.4924514235169823</v>
      </c>
      <c r="Y366" s="11">
        <v>0</v>
      </c>
      <c r="Z366" s="11">
        <v>4.9255231873237113</v>
      </c>
      <c r="AA366" s="11">
        <v>1.8781106021705971</v>
      </c>
      <c r="AB366" s="11">
        <v>3.7956318965627913</v>
      </c>
      <c r="AC366" s="11">
        <v>0.50260217423209885</v>
      </c>
      <c r="AD366" s="11">
        <v>6.9399634900394016</v>
      </c>
      <c r="AE366" s="11">
        <v>1.1530270434648231</v>
      </c>
      <c r="AF366" s="11">
        <v>2.4655653164958977</v>
      </c>
      <c r="AG366" s="11">
        <v>0</v>
      </c>
      <c r="AH366" s="11">
        <v>4.6411008982519188</v>
      </c>
      <c r="AI366" s="11">
        <v>0.99961523001748498</v>
      </c>
      <c r="AJ366" s="11">
        <v>2.5018637169809157</v>
      </c>
      <c r="AK366" s="6"/>
      <c r="AL366" t="s">
        <v>1080</v>
      </c>
      <c r="AM366">
        <v>0</v>
      </c>
      <c r="AN366" s="6"/>
      <c r="AO366" s="20">
        <v>1.4368000000000001</v>
      </c>
      <c r="AP366" s="20">
        <v>0.82089999999999996</v>
      </c>
      <c r="AQ366" s="20">
        <v>0.69259999999999999</v>
      </c>
      <c r="AR366" s="20">
        <v>2.0703</v>
      </c>
      <c r="AS366" s="20">
        <v>0</v>
      </c>
      <c r="AT366" s="20">
        <v>0.29170000000000001</v>
      </c>
      <c r="AU366" s="20">
        <v>1.2696000000000001</v>
      </c>
      <c r="AV366" s="20">
        <v>1.4029</v>
      </c>
      <c r="AW366" s="6"/>
      <c r="AX366" s="18">
        <v>0.33589999999999998</v>
      </c>
      <c r="AY366" s="18">
        <v>0.38100000000000001</v>
      </c>
      <c r="AZ366" s="18">
        <v>0.55489999999999995</v>
      </c>
      <c r="BA366" s="18">
        <v>3.6040000000000003E-2</v>
      </c>
      <c r="BB366" s="18">
        <v>1</v>
      </c>
      <c r="BC366" s="18">
        <v>0.75639999999999996</v>
      </c>
      <c r="BD366" s="18">
        <v>0.27089999999999997</v>
      </c>
      <c r="BE366" s="18">
        <v>0.157</v>
      </c>
      <c r="BF366" s="13"/>
      <c r="BG366" t="s">
        <v>1111</v>
      </c>
      <c r="BH366" t="s">
        <v>1126</v>
      </c>
      <c r="BI366" t="s">
        <v>1150</v>
      </c>
      <c r="BJ366" t="s">
        <v>1127</v>
      </c>
      <c r="BK366" t="s">
        <v>1151</v>
      </c>
      <c r="BL366" t="s">
        <v>1116</v>
      </c>
      <c r="BM366" t="s">
        <v>1117</v>
      </c>
      <c r="BN366" s="13"/>
      <c r="BO366" t="s">
        <v>973</v>
      </c>
      <c r="BP366" t="s">
        <v>973</v>
      </c>
      <c r="BQ366" t="s">
        <v>973</v>
      </c>
      <c r="BR366" t="s">
        <v>973</v>
      </c>
    </row>
    <row r="367" spans="1:70" x14ac:dyDescent="0.25">
      <c r="A367" t="s">
        <v>36</v>
      </c>
      <c r="B367" t="s">
        <v>37</v>
      </c>
      <c r="C367" t="s">
        <v>38</v>
      </c>
      <c r="D367" s="6"/>
      <c r="E367" s="9" t="str">
        <f>HYPERLINK("http://plants.ensembl.org/Triticum_aestivum/Gene/Summary?g=TRIAE_CS42_1AL_TGACv1_002026_AA0037970","TRIAE_CS42_1AL_TGACv1_002026_AA0037970")</f>
        <v>TRIAE_CS42_1AL_TGACv1_002026_AA0037970</v>
      </c>
      <c r="F367" s="9"/>
      <c r="H367" s="8" t="str">
        <f>HYPERLINK("http://plants.ensembl.org/Brachypodium_distachyon/Gene/Summary?g=Bradi2g25600","Bradi2g25600")</f>
        <v>Bradi2g25600</v>
      </c>
      <c r="I367" s="8" t="str">
        <f>HYPERLINK("http://plants.ensembl.org/Arabidopsis_thaliana/Gene/Summary?g=AT5G27320","AT5G27320")</f>
        <v>AT5G27320</v>
      </c>
      <c r="J367" s="9" t="str">
        <f>HYPERLINK("http://plants.ensembl.org/Oryza_sativa/Gene/Summary?db=otherfeatures;g=LOC_Os05g33730","LOC_Os05g33730")</f>
        <v>LOC_Os05g33730</v>
      </c>
      <c r="L367" s="6"/>
      <c r="M367" s="1" t="s">
        <v>973</v>
      </c>
      <c r="N367" s="1" t="s">
        <v>973</v>
      </c>
      <c r="O367" s="1" t="s">
        <v>973</v>
      </c>
      <c r="P367" s="1" t="s">
        <v>973</v>
      </c>
      <c r="Q367" s="1" t="s">
        <v>973</v>
      </c>
      <c r="R367" s="1">
        <v>1</v>
      </c>
      <c r="S367" s="1"/>
      <c r="T367" s="6"/>
      <c r="U367" s="11">
        <v>7.0954771995943249</v>
      </c>
      <c r="V367" s="11">
        <v>8.8396545861095088</v>
      </c>
      <c r="W367" s="11">
        <v>7.2849644116364125</v>
      </c>
      <c r="X367" s="11">
        <v>8.4701174822583809</v>
      </c>
      <c r="Y367" s="11">
        <v>7.2273701388999907</v>
      </c>
      <c r="Z367" s="11">
        <v>7.4863107974022904</v>
      </c>
      <c r="AA367" s="11">
        <v>8.0807759646040225</v>
      </c>
      <c r="AB367" s="11">
        <v>7.7775880420359282</v>
      </c>
      <c r="AC367" s="11">
        <v>5.2634025466563825</v>
      </c>
      <c r="AD367" s="11">
        <v>6.9971666820207341</v>
      </c>
      <c r="AE367" s="11">
        <v>6.8103419848258611</v>
      </c>
      <c r="AF367" s="11">
        <v>7.2266051814872316</v>
      </c>
      <c r="AG367" s="11">
        <v>6.2133861678681557</v>
      </c>
      <c r="AH367" s="11">
        <v>6.3514911148548725</v>
      </c>
      <c r="AI367" s="11">
        <v>6.8373949808705889</v>
      </c>
      <c r="AJ367" s="11">
        <v>7.3327723701934877</v>
      </c>
      <c r="AK367" s="6"/>
      <c r="AL367" t="s">
        <v>1077</v>
      </c>
      <c r="AM367">
        <v>0</v>
      </c>
      <c r="AN367" s="6"/>
      <c r="AO367" s="20">
        <v>1.8916999999999999</v>
      </c>
      <c r="AP367" s="20">
        <v>1.8269</v>
      </c>
      <c r="AQ367" s="20">
        <v>0.47239999999999999</v>
      </c>
      <c r="AR367" s="20">
        <v>1.2302</v>
      </c>
      <c r="AS367" s="20">
        <v>1.0093000000000001</v>
      </c>
      <c r="AT367" s="20">
        <v>1.1362000000000001</v>
      </c>
      <c r="AU367" s="20">
        <v>1.2376</v>
      </c>
      <c r="AV367" s="20">
        <v>0.44219999999999998</v>
      </c>
      <c r="AW367" s="6"/>
      <c r="AX367" s="18">
        <v>6.8059999999999996E-5</v>
      </c>
      <c r="AY367" s="18">
        <v>1.0009999999999999E-4</v>
      </c>
      <c r="AZ367" s="18">
        <v>0.29749999999999999</v>
      </c>
      <c r="BA367" s="18">
        <v>6.3699999999999998E-3</v>
      </c>
      <c r="BB367" s="18">
        <v>2.64E-2</v>
      </c>
      <c r="BC367" s="18">
        <v>1.273E-2</v>
      </c>
      <c r="BD367" s="18">
        <v>6.1199999999999996E-3</v>
      </c>
      <c r="BE367" s="18">
        <v>0.32729999999999998</v>
      </c>
      <c r="BF367" s="13"/>
      <c r="BG367" t="s">
        <v>1313</v>
      </c>
      <c r="BH367" t="s">
        <v>1253</v>
      </c>
      <c r="BI367" t="s">
        <v>1302</v>
      </c>
      <c r="BJ367" t="s">
        <v>1251</v>
      </c>
      <c r="BK367" t="s">
        <v>1151</v>
      </c>
      <c r="BL367" t="s">
        <v>1116</v>
      </c>
      <c r="BM367" t="s">
        <v>1117</v>
      </c>
      <c r="BN367" s="13"/>
      <c r="BO367" t="s">
        <v>973</v>
      </c>
      <c r="BP367" t="s">
        <v>973</v>
      </c>
      <c r="BQ367" t="s">
        <v>973</v>
      </c>
      <c r="BR367" t="s">
        <v>973</v>
      </c>
    </row>
    <row r="368" spans="1:70" x14ac:dyDescent="0.25">
      <c r="A368" t="s">
        <v>87</v>
      </c>
      <c r="B368" t="s">
        <v>37</v>
      </c>
      <c r="C368" t="s">
        <v>38</v>
      </c>
      <c r="D368" s="6"/>
      <c r="E368" s="9" t="str">
        <f>HYPERLINK("http://plants.ensembl.org/Triticum_aestivum/Gene/Summary?g=TRIAE_CS42_1BL_TGACv1_032368_AA0129000","TRIAE_CS42_1BL_TGACv1_032368_AA0129000")</f>
        <v>TRIAE_CS42_1BL_TGACv1_032368_AA0129000</v>
      </c>
      <c r="F368" s="9" t="str">
        <f>HYPERLINK("http://mar2016-plants.ensembl.org/Triticum_aestivum/Gene/Summary?db=core;g=Traes_1BL_7517181F2","Traes_1BL_7517181F2")</f>
        <v>Traes_1BL_7517181F2</v>
      </c>
      <c r="H368" s="8" t="str">
        <f>HYPERLINK("http://plants.ensembl.org/Brachypodium_distachyon/Gene/Summary?g=Bradi2g25600","Bradi2g25600")</f>
        <v>Bradi2g25600</v>
      </c>
      <c r="I368" s="8" t="str">
        <f>HYPERLINK("http://plants.ensembl.org/Arabidopsis_thaliana/Gene/Summary?g=AT5G27320","AT5G27320")</f>
        <v>AT5G27320</v>
      </c>
      <c r="J368" s="9" t="str">
        <f>HYPERLINK("http://plants.ensembl.org/Oryza_sativa/Gene/Summary?db=otherfeatures;g=LOC_Os05g33730","LOC_Os05g33730")</f>
        <v>LOC_Os05g33730</v>
      </c>
      <c r="L368" s="6"/>
      <c r="M368" s="1" t="s">
        <v>973</v>
      </c>
      <c r="N368" s="1" t="s">
        <v>973</v>
      </c>
      <c r="O368" s="1" t="s">
        <v>973</v>
      </c>
      <c r="P368" s="1" t="s">
        <v>973</v>
      </c>
      <c r="Q368" s="1" t="s">
        <v>973</v>
      </c>
      <c r="R368" s="1">
        <v>1</v>
      </c>
      <c r="S368" s="1"/>
      <c r="T368" s="6"/>
      <c r="U368" s="11">
        <v>6.894759165260516</v>
      </c>
      <c r="V368" s="11">
        <v>8.6290622219649826</v>
      </c>
      <c r="W368" s="11">
        <v>6.207778347491038</v>
      </c>
      <c r="X368" s="11">
        <v>7.1451913807113288</v>
      </c>
      <c r="Y368" s="11">
        <v>5.7392864653816336</v>
      </c>
      <c r="Z368" s="11">
        <v>6.5336406927017672</v>
      </c>
      <c r="AA368" s="11">
        <v>6.8773004957346124</v>
      </c>
      <c r="AB368" s="11">
        <v>6.7431073999406657</v>
      </c>
      <c r="AC368" s="11">
        <v>5.6081725031410894</v>
      </c>
      <c r="AD368" s="11">
        <v>6.7252589962499068</v>
      </c>
      <c r="AE368" s="11">
        <v>5.6154673054873587</v>
      </c>
      <c r="AF368" s="11">
        <v>5.9044961403807186</v>
      </c>
      <c r="AG368" s="11">
        <v>5.50489577045981</v>
      </c>
      <c r="AH368" s="11">
        <v>5.1983500864837433</v>
      </c>
      <c r="AI368" s="11">
        <v>5.9648768326875663</v>
      </c>
      <c r="AJ368" s="11">
        <v>6.1797067668689705</v>
      </c>
      <c r="AK368" s="6"/>
      <c r="AL368" t="s">
        <v>1073</v>
      </c>
      <c r="AM368">
        <v>0</v>
      </c>
      <c r="AN368" s="6"/>
      <c r="AO368" s="20">
        <v>1.3291999999999999</v>
      </c>
      <c r="AP368" s="20">
        <v>1.9175</v>
      </c>
      <c r="AQ368" s="20">
        <v>0.59570000000000001</v>
      </c>
      <c r="AR368" s="20">
        <v>1.2245999999999999</v>
      </c>
      <c r="AS368" s="20">
        <v>0.2361</v>
      </c>
      <c r="AT368" s="20">
        <v>1.3472999999999999</v>
      </c>
      <c r="AU368" s="20">
        <v>0.91180000000000005</v>
      </c>
      <c r="AV368" s="20">
        <v>0.56340000000000001</v>
      </c>
      <c r="AW368" s="6"/>
      <c r="AX368" s="18">
        <v>3.117E-3</v>
      </c>
      <c r="AY368" s="18">
        <v>2.0659999999999999E-5</v>
      </c>
      <c r="AZ368" s="18">
        <v>0.1764</v>
      </c>
      <c r="BA368" s="18">
        <v>5.0049999999999999E-3</v>
      </c>
      <c r="BB368" s="18">
        <v>0.59360000000000002</v>
      </c>
      <c r="BC368" s="18">
        <v>2.4970000000000001E-3</v>
      </c>
      <c r="BD368" s="18">
        <v>3.5630000000000002E-2</v>
      </c>
      <c r="BE368" s="18">
        <v>0.19539999999999999</v>
      </c>
      <c r="BF368" s="13"/>
      <c r="BG368" t="s">
        <v>1299</v>
      </c>
      <c r="BH368" t="s">
        <v>1265</v>
      </c>
      <c r="BI368" t="s">
        <v>1254</v>
      </c>
      <c r="BJ368" t="s">
        <v>1127</v>
      </c>
      <c r="BK368" t="s">
        <v>1115</v>
      </c>
      <c r="BL368" t="s">
        <v>1226</v>
      </c>
      <c r="BM368" t="s">
        <v>1117</v>
      </c>
      <c r="BN368" s="13"/>
      <c r="BO368" t="s">
        <v>973</v>
      </c>
      <c r="BP368" t="s">
        <v>973</v>
      </c>
      <c r="BQ368" t="s">
        <v>973</v>
      </c>
      <c r="BR368" t="s">
        <v>973</v>
      </c>
    </row>
    <row r="369" spans="1:70" x14ac:dyDescent="0.25">
      <c r="A369" t="s">
        <v>109</v>
      </c>
      <c r="B369" t="s">
        <v>37</v>
      </c>
      <c r="C369" t="s">
        <v>38</v>
      </c>
      <c r="D369" s="6"/>
      <c r="E369" s="9" t="str">
        <f>HYPERLINK("http://plants.ensembl.org/Triticum_aestivum/Gene/Summary?g=TRIAE_CS42_1DL_TGACv1_061931_AA0205760","TRIAE_CS42_1DL_TGACv1_061931_AA0205760")</f>
        <v>TRIAE_CS42_1DL_TGACv1_061931_AA0205760</v>
      </c>
      <c r="H369" s="8" t="str">
        <f>HYPERLINK("http://plants.ensembl.org/Brachypodium_distachyon/Gene/Summary?g=Bradi2g25600","Bradi2g25600")</f>
        <v>Bradi2g25600</v>
      </c>
      <c r="I369" s="8" t="str">
        <f>HYPERLINK("http://plants.ensembl.org/Arabidopsis_thaliana/Gene/Summary?g=AT5G27320","AT5G27320")</f>
        <v>AT5G27320</v>
      </c>
      <c r="J369" s="9" t="str">
        <f>HYPERLINK("http://plants.ensembl.org/Oryza_sativa/Gene/Summary?db=otherfeatures;g=LOC_Os05g33730","LOC_Os05g33730")</f>
        <v>LOC_Os05g33730</v>
      </c>
      <c r="L369" s="6"/>
      <c r="M369" s="1" t="s">
        <v>973</v>
      </c>
      <c r="N369" s="1" t="s">
        <v>973</v>
      </c>
      <c r="O369" s="1" t="s">
        <v>973</v>
      </c>
      <c r="P369" s="1" t="s">
        <v>973</v>
      </c>
      <c r="Q369" s="1" t="s">
        <v>973</v>
      </c>
      <c r="R369" s="1">
        <v>1</v>
      </c>
      <c r="S369" s="1"/>
      <c r="T369" s="6"/>
      <c r="U369" s="11">
        <v>7.0553666806465696</v>
      </c>
      <c r="V369" s="11">
        <v>9.2280830491011727</v>
      </c>
      <c r="W369" s="11">
        <v>7.0932594425091224</v>
      </c>
      <c r="X369" s="11">
        <v>8.0950822505982192</v>
      </c>
      <c r="Y369" s="11">
        <v>6.6831204776098296</v>
      </c>
      <c r="Z369" s="11">
        <v>7.410631403308205</v>
      </c>
      <c r="AA369" s="11">
        <v>7.7332623613532361</v>
      </c>
      <c r="AB369" s="11">
        <v>7.5861627443740902</v>
      </c>
      <c r="AC369" s="11">
        <v>6.456800127039152</v>
      </c>
      <c r="AD369" s="11">
        <v>7.4602595644776439</v>
      </c>
      <c r="AE369" s="11">
        <v>6.7408192012553378</v>
      </c>
      <c r="AF369" s="11">
        <v>7.2031564466977134</v>
      </c>
      <c r="AG369" s="11">
        <v>6.1174263129217445</v>
      </c>
      <c r="AH369" s="11">
        <v>6.6788503371164447</v>
      </c>
      <c r="AI369" s="11">
        <v>6.8590423121246777</v>
      </c>
      <c r="AJ369" s="11">
        <v>7.2255815008436555</v>
      </c>
      <c r="AK369" s="6"/>
      <c r="AL369" t="s">
        <v>1104</v>
      </c>
      <c r="AM369">
        <v>0</v>
      </c>
      <c r="AN369" s="6"/>
      <c r="AO369" s="20">
        <v>0.62439999999999996</v>
      </c>
      <c r="AP369" s="20">
        <v>1.7292000000000001</v>
      </c>
      <c r="AQ369" s="20">
        <v>0.35039999999999999</v>
      </c>
      <c r="AR369" s="20">
        <v>0.88009999999999999</v>
      </c>
      <c r="AS369" s="20">
        <v>0.56440000000000001</v>
      </c>
      <c r="AT369" s="20">
        <v>0.73429999999999995</v>
      </c>
      <c r="AU369" s="20">
        <v>0.86970000000000003</v>
      </c>
      <c r="AV369" s="20">
        <v>0.35859999999999997</v>
      </c>
      <c r="AW369" s="6"/>
      <c r="AX369" s="18">
        <v>0.17419999999999999</v>
      </c>
      <c r="AY369" s="18">
        <v>1.574E-4</v>
      </c>
      <c r="AZ369" s="18">
        <v>0.43440000000000001</v>
      </c>
      <c r="BA369" s="18">
        <v>4.8250000000000001E-2</v>
      </c>
      <c r="BB369" s="18">
        <v>0.2109</v>
      </c>
      <c r="BC369" s="18">
        <v>0.1017</v>
      </c>
      <c r="BD369" s="18">
        <v>5.1139999999999998E-2</v>
      </c>
      <c r="BE369" s="18">
        <v>0.42149999999999999</v>
      </c>
      <c r="BF369" s="13"/>
      <c r="BG369" t="s">
        <v>1125</v>
      </c>
      <c r="BH369" t="s">
        <v>1269</v>
      </c>
      <c r="BI369" t="s">
        <v>1113</v>
      </c>
      <c r="BJ369" t="s">
        <v>1127</v>
      </c>
      <c r="BK369" t="s">
        <v>1115</v>
      </c>
      <c r="BL369" t="s">
        <v>1116</v>
      </c>
      <c r="BM369" t="s">
        <v>1117</v>
      </c>
      <c r="BN369" s="13"/>
      <c r="BO369" t="s">
        <v>973</v>
      </c>
      <c r="BP369" t="s">
        <v>973</v>
      </c>
      <c r="BQ369" t="s">
        <v>973</v>
      </c>
      <c r="BR369" t="s">
        <v>973</v>
      </c>
    </row>
    <row r="370" spans="1:70" x14ac:dyDescent="0.25">
      <c r="A370" t="s">
        <v>134</v>
      </c>
      <c r="B370" t="s">
        <v>37</v>
      </c>
      <c r="C370" t="s">
        <v>38</v>
      </c>
      <c r="D370" s="6"/>
      <c r="E370" s="9" t="str">
        <f>HYPERLINK("http://plants.ensembl.org/Triticum_aestivum/Gene/Summary?g=TRIAE_CS42_2AS_TGACv1_114665_AA0368710","TRIAE_CS42_2AS_TGACv1_114665_AA0368710")</f>
        <v>TRIAE_CS42_2AS_TGACv1_114665_AA0368710</v>
      </c>
      <c r="F370" s="9" t="str">
        <f>HYPERLINK("http://mar2016-plants.ensembl.org/Triticum_aestivum/Gene/Summary?db=core;g=Traes_2AS_BA2BB5927","Traes_2AS_BA2BB5927")</f>
        <v>Traes_2AS_BA2BB5927</v>
      </c>
      <c r="H370" s="8" t="str">
        <f>HYPERLINK("http://plants.ensembl.org/Brachypodium_distachyon/Gene/Summary?g=Bradi1g19720","Bradi1g19720")</f>
        <v>Bradi1g19720</v>
      </c>
      <c r="I370" s="1" t="s">
        <v>1051</v>
      </c>
      <c r="J370" s="9" t="str">
        <f>HYPERLINK("http://plants.ensembl.org/Oryza_sativa/Gene/Summary?db=otherfeatures;g=LOC_Os07g44910","LOC_Os07g44910")</f>
        <v>LOC_Os07g44910</v>
      </c>
      <c r="L370" s="6"/>
      <c r="M370" s="1" t="s">
        <v>973</v>
      </c>
      <c r="N370" s="1" t="s">
        <v>973</v>
      </c>
      <c r="O370" s="1" t="s">
        <v>973</v>
      </c>
      <c r="P370" s="1" t="s">
        <v>973</v>
      </c>
      <c r="Q370" s="1" t="s">
        <v>973</v>
      </c>
      <c r="R370" s="1">
        <v>1</v>
      </c>
      <c r="S370" s="1"/>
      <c r="T370" s="6"/>
      <c r="U370" s="11">
        <v>4.379766499467995</v>
      </c>
      <c r="V370" s="11">
        <v>6.8169733868019247</v>
      </c>
      <c r="W370" s="11">
        <v>5.1851899582410388</v>
      </c>
      <c r="X370" s="11">
        <v>5.823617752533381</v>
      </c>
      <c r="Y370" s="11">
        <v>4.5896296760070197</v>
      </c>
      <c r="Z370" s="11">
        <v>5.2927289966590152</v>
      </c>
      <c r="AA370" s="11">
        <v>5.4603057144173768</v>
      </c>
      <c r="AB370" s="11">
        <v>5.0725088753621268</v>
      </c>
      <c r="AC370" s="11">
        <v>4.2678903109216675</v>
      </c>
      <c r="AD370" s="11">
        <v>3.7843015586847386</v>
      </c>
      <c r="AE370" s="11">
        <v>5.0121022995467825</v>
      </c>
      <c r="AF370" s="11">
        <v>4.6252510038967944</v>
      </c>
      <c r="AG370" s="11">
        <v>3.7656372872192541</v>
      </c>
      <c r="AH370" s="11">
        <v>3.8759897037911863</v>
      </c>
      <c r="AI370" s="11">
        <v>4.7276663726864978</v>
      </c>
      <c r="AJ370" s="11">
        <v>4.2542034870105176</v>
      </c>
      <c r="AK370" s="6"/>
      <c r="AL370" t="s">
        <v>1077</v>
      </c>
      <c r="AM370">
        <v>0</v>
      </c>
      <c r="AN370" s="6"/>
      <c r="AO370" s="20">
        <v>0.24809999999999999</v>
      </c>
      <c r="AP370" s="20">
        <v>2.9714999999999998</v>
      </c>
      <c r="AQ370" s="20">
        <v>0.17449999999999999</v>
      </c>
      <c r="AR370" s="20">
        <v>1.2047000000000001</v>
      </c>
      <c r="AS370" s="20">
        <v>0.85880000000000001</v>
      </c>
      <c r="AT370" s="20">
        <v>1.4545999999999999</v>
      </c>
      <c r="AU370" s="20">
        <v>0.73609999999999998</v>
      </c>
      <c r="AV370" s="20">
        <v>0.83320000000000005</v>
      </c>
      <c r="AW370" s="6"/>
      <c r="AX370" s="18">
        <v>0.71199999999999997</v>
      </c>
      <c r="AY370" s="18">
        <v>1.7079999999999999E-5</v>
      </c>
      <c r="AZ370" s="18">
        <v>0.77800000000000002</v>
      </c>
      <c r="BA370" s="18">
        <v>5.287E-2</v>
      </c>
      <c r="BB370" s="18">
        <v>0.17730000000000001</v>
      </c>
      <c r="BC370" s="18">
        <v>2.2689999999999998E-2</v>
      </c>
      <c r="BD370" s="18">
        <v>0.23380000000000001</v>
      </c>
      <c r="BE370" s="18">
        <v>0.187</v>
      </c>
      <c r="BF370" s="13"/>
      <c r="BG370" t="s">
        <v>1125</v>
      </c>
      <c r="BH370" t="s">
        <v>1155</v>
      </c>
      <c r="BI370" t="s">
        <v>1113</v>
      </c>
      <c r="BJ370" t="s">
        <v>1127</v>
      </c>
      <c r="BK370" t="s">
        <v>1115</v>
      </c>
      <c r="BL370" t="s">
        <v>1116</v>
      </c>
      <c r="BM370" t="s">
        <v>1117</v>
      </c>
      <c r="BN370" s="13"/>
      <c r="BO370" t="s">
        <v>973</v>
      </c>
      <c r="BP370" t="s">
        <v>973</v>
      </c>
      <c r="BQ370" t="s">
        <v>973</v>
      </c>
      <c r="BR370" t="s">
        <v>973</v>
      </c>
    </row>
    <row r="371" spans="1:70" x14ac:dyDescent="0.25">
      <c r="A371" t="s">
        <v>254</v>
      </c>
      <c r="B371" t="s">
        <v>37</v>
      </c>
      <c r="C371" t="s">
        <v>38</v>
      </c>
      <c r="D371" s="6"/>
      <c r="E371" s="9" t="str">
        <f>HYPERLINK("http://plants.ensembl.org/Triticum_aestivum/Gene/Summary?g=TRIAE_CS42_2DS_TGACv1_177487_AA0578450","TRIAE_CS42_2DS_TGACv1_177487_AA0578450")</f>
        <v>TRIAE_CS42_2DS_TGACv1_177487_AA0578450</v>
      </c>
      <c r="F371" s="9" t="str">
        <f>HYPERLINK("http://mar2016-plants.ensembl.org/Triticum_aestivum/Gene/Summary?db=core;g=Traes_2DS_97BDB0BA7","Traes_2DS_97BDB0BA7")</f>
        <v>Traes_2DS_97BDB0BA7</v>
      </c>
      <c r="H371" s="8" t="str">
        <f>HYPERLINK("http://plants.ensembl.org/Brachypodium_distachyon/Gene/Summary?g=Bradi1g19720","Bradi1g19720")</f>
        <v>Bradi1g19720</v>
      </c>
      <c r="I371" s="1" t="s">
        <v>1051</v>
      </c>
      <c r="J371" s="9" t="str">
        <f>HYPERLINK("http://plants.ensembl.org/Oryza_sativa/Gene/Summary?db=otherfeatures;g=LOC_Os07g44910","LOC_Os07g44910")</f>
        <v>LOC_Os07g44910</v>
      </c>
      <c r="L371" s="6"/>
      <c r="M371" s="1" t="s">
        <v>973</v>
      </c>
      <c r="N371" s="1" t="s">
        <v>973</v>
      </c>
      <c r="O371" s="1" t="s">
        <v>973</v>
      </c>
      <c r="P371" s="1" t="s">
        <v>973</v>
      </c>
      <c r="Q371" s="1" t="s">
        <v>973</v>
      </c>
      <c r="R371" s="1">
        <v>1</v>
      </c>
      <c r="S371" s="1"/>
      <c r="T371" s="6"/>
      <c r="U371" s="11">
        <v>4.4222666452310584</v>
      </c>
      <c r="V371" s="11">
        <v>6.8210996102126851</v>
      </c>
      <c r="W371" s="11">
        <v>2.8820234540544147</v>
      </c>
      <c r="X371" s="11">
        <v>3.6880199258583883</v>
      </c>
      <c r="Y371" s="11">
        <v>3.6429479678785168</v>
      </c>
      <c r="Z371" s="11">
        <v>4.314914000978793</v>
      </c>
      <c r="AA371" s="11">
        <v>3.2986485411747588</v>
      </c>
      <c r="AB371" s="11">
        <v>3.2619870699887108</v>
      </c>
      <c r="AC371" s="11">
        <v>2.2028564974425811</v>
      </c>
      <c r="AD371" s="11">
        <v>3.8432368517295026</v>
      </c>
      <c r="AE371" s="11">
        <v>2.4387098064927586</v>
      </c>
      <c r="AF371" s="11">
        <v>2.3438152254374063</v>
      </c>
      <c r="AG371" s="11">
        <v>2.6945087949233115</v>
      </c>
      <c r="AH371" s="11">
        <v>2.4358596911986119</v>
      </c>
      <c r="AI371" s="11">
        <v>1.7809679467743311</v>
      </c>
      <c r="AJ371" s="11">
        <v>1.1919626420322624</v>
      </c>
      <c r="AK371" s="6"/>
      <c r="AL371" t="s">
        <v>1077</v>
      </c>
      <c r="AM371">
        <v>0</v>
      </c>
      <c r="AN371" s="6"/>
      <c r="AO371" s="20">
        <v>2.4102999999999999</v>
      </c>
      <c r="AP371" s="20">
        <v>3.7298</v>
      </c>
      <c r="AQ371" s="20">
        <v>0.52510000000000001</v>
      </c>
      <c r="AR371" s="20">
        <v>1.3463000000000001</v>
      </c>
      <c r="AS371" s="20">
        <v>1.0488999999999999</v>
      </c>
      <c r="AT371" s="20">
        <v>2.0737000000000001</v>
      </c>
      <c r="AU371" s="20">
        <v>1.7986</v>
      </c>
      <c r="AV371" s="20">
        <v>2.5739000000000001</v>
      </c>
      <c r="AW371" s="6"/>
      <c r="AX371" s="18">
        <v>4.2560000000000002E-3</v>
      </c>
      <c r="AY371" s="18">
        <v>5.3820000000000003E-6</v>
      </c>
      <c r="AZ371" s="18">
        <v>0.51929999999999998</v>
      </c>
      <c r="BA371" s="18">
        <v>9.3289999999999998E-2</v>
      </c>
      <c r="BB371" s="18">
        <v>0.1729</v>
      </c>
      <c r="BC371" s="18">
        <v>9.1389999999999996E-3</v>
      </c>
      <c r="BD371" s="18">
        <v>3.3320000000000002E-2</v>
      </c>
      <c r="BE371" s="18">
        <v>5.692E-3</v>
      </c>
      <c r="BF371" s="13"/>
      <c r="BG371" t="s">
        <v>1125</v>
      </c>
      <c r="BH371" t="s">
        <v>1126</v>
      </c>
      <c r="BI371" t="s">
        <v>1113</v>
      </c>
      <c r="BJ371" t="s">
        <v>1127</v>
      </c>
      <c r="BK371" t="s">
        <v>1115</v>
      </c>
      <c r="BL371" t="s">
        <v>1116</v>
      </c>
      <c r="BM371" t="s">
        <v>1117</v>
      </c>
      <c r="BN371" s="13"/>
      <c r="BO371" t="s">
        <v>973</v>
      </c>
      <c r="BP371">
        <v>1</v>
      </c>
      <c r="BQ371" t="s">
        <v>973</v>
      </c>
      <c r="BR371" t="s">
        <v>973</v>
      </c>
    </row>
    <row r="372" spans="1:70" x14ac:dyDescent="0.25">
      <c r="A372" t="s">
        <v>893</v>
      </c>
      <c r="B372" t="s">
        <v>894</v>
      </c>
      <c r="C372" t="s">
        <v>895</v>
      </c>
      <c r="D372" s="6"/>
      <c r="E372" s="9" t="str">
        <f>HYPERLINK("http://plants.ensembl.org/Triticum_aestivum/Gene/Summary?g=TRIAE_CS42_7BS_TGACv1_591889_AA1924670","TRIAE_CS42_7BS_TGACv1_591889_AA1924670")</f>
        <v>TRIAE_CS42_7BS_TGACv1_591889_AA1924670</v>
      </c>
      <c r="H372" s="1" t="s">
        <v>1051</v>
      </c>
      <c r="I372" s="8" t="str">
        <f>HYPERLINK("http://plants.ensembl.org/Arabidopsis_thaliana/Gene/Summary?g=AT5G23530","AT5G23530")</f>
        <v>AT5G23530</v>
      </c>
      <c r="J372" s="1" t="s">
        <v>1051</v>
      </c>
      <c r="L372" s="6"/>
      <c r="M372" s="1" t="s">
        <v>973</v>
      </c>
      <c r="N372" s="1" t="s">
        <v>973</v>
      </c>
      <c r="O372" s="1" t="s">
        <v>973</v>
      </c>
      <c r="P372" s="1" t="s">
        <v>973</v>
      </c>
      <c r="Q372" s="1" t="s">
        <v>973</v>
      </c>
      <c r="R372" s="1">
        <v>1</v>
      </c>
      <c r="S372" s="1"/>
      <c r="T372" s="6"/>
      <c r="U372" s="11">
        <v>4.7973087518939082</v>
      </c>
      <c r="V372" s="11">
        <v>6.9071226104035723</v>
      </c>
      <c r="W372" s="11">
        <v>1.9874542741824333</v>
      </c>
      <c r="X372" s="11">
        <v>2.6040396852728054</v>
      </c>
      <c r="Y372" s="11">
        <v>2.2720132325391775</v>
      </c>
      <c r="Z372" s="11">
        <v>2.4652170140030898</v>
      </c>
      <c r="AA372" s="11">
        <v>2.882206099276841</v>
      </c>
      <c r="AB372" s="11">
        <v>2.5886286958635027</v>
      </c>
      <c r="AC372" s="11">
        <v>0.79196683944330915</v>
      </c>
      <c r="AD372" s="11">
        <v>1.2070390565301843</v>
      </c>
      <c r="AE372" s="11">
        <v>0.61795666809593053</v>
      </c>
      <c r="AF372" s="11">
        <v>1.2572319351967836</v>
      </c>
      <c r="AG372" s="11">
        <v>0.49337407040002274</v>
      </c>
      <c r="AH372" s="11">
        <v>0.6668474674503837</v>
      </c>
      <c r="AI372" s="11">
        <v>0.60915607847725739</v>
      </c>
      <c r="AJ372" s="11">
        <v>1.0092993921986118</v>
      </c>
      <c r="AK372" s="6"/>
      <c r="AL372" t="s">
        <v>1077</v>
      </c>
      <c r="AM372">
        <v>0</v>
      </c>
      <c r="AN372" s="6"/>
      <c r="AO372" s="20">
        <v>5.2008999999999999</v>
      </c>
      <c r="AP372" s="20">
        <v>5.8247</v>
      </c>
      <c r="AQ372" s="20">
        <v>2.2229999999999999</v>
      </c>
      <c r="AR372" s="20">
        <v>1.8229</v>
      </c>
      <c r="AS372" s="20">
        <v>3.1042999999999998</v>
      </c>
      <c r="AT372" s="20">
        <v>2.6844000000000001</v>
      </c>
      <c r="AU372" s="20">
        <v>3.3361999999999998</v>
      </c>
      <c r="AV372" s="20">
        <v>2.1688999999999998</v>
      </c>
      <c r="AW372" s="6"/>
      <c r="AX372" s="18">
        <v>1.3909999999999999E-6</v>
      </c>
      <c r="AY372" s="18">
        <v>5.2530000000000004E-10</v>
      </c>
      <c r="AZ372" s="18">
        <v>4.8640000000000003E-2</v>
      </c>
      <c r="BA372" s="18">
        <v>5.2269999999999997E-2</v>
      </c>
      <c r="BB372" s="18">
        <v>5.0080000000000003E-3</v>
      </c>
      <c r="BC372" s="18">
        <v>1.5570000000000001E-2</v>
      </c>
      <c r="BD372" s="18">
        <v>2.1210000000000001E-3</v>
      </c>
      <c r="BE372" s="18">
        <v>2.665E-2</v>
      </c>
      <c r="BF372" s="13"/>
      <c r="BG372" t="s">
        <v>1125</v>
      </c>
      <c r="BH372" t="s">
        <v>1126</v>
      </c>
      <c r="BI372" t="s">
        <v>1113</v>
      </c>
      <c r="BJ372" t="s">
        <v>1127</v>
      </c>
      <c r="BK372" t="s">
        <v>1115</v>
      </c>
      <c r="BL372" t="s">
        <v>1116</v>
      </c>
      <c r="BM372" t="s">
        <v>1117</v>
      </c>
      <c r="BN372" s="13"/>
      <c r="BO372" t="s">
        <v>973</v>
      </c>
      <c r="BP372">
        <v>1</v>
      </c>
      <c r="BQ372" t="s">
        <v>973</v>
      </c>
      <c r="BR372" t="s">
        <v>973</v>
      </c>
    </row>
    <row r="373" spans="1:70" x14ac:dyDescent="0.25">
      <c r="A373" t="s">
        <v>203</v>
      </c>
      <c r="B373" t="s">
        <v>204</v>
      </c>
      <c r="C373" t="s">
        <v>205</v>
      </c>
      <c r="D373" s="6"/>
      <c r="E373" s="9" t="str">
        <f>HYPERLINK("http://plants.ensembl.org/Triticum_aestivum/Gene/Summary?g=TRIAE_CS42_2BS_TGACv1_146134_AA0456280","TRIAE_CS42_2BS_TGACv1_146134_AA0456280")</f>
        <v>TRIAE_CS42_2BS_TGACv1_146134_AA0456280</v>
      </c>
      <c r="F373" s="9" t="str">
        <f>HYPERLINK("http://mar2016-plants.ensembl.org/Triticum_aestivum/Gene/Summary?db=core;g=Traes_2BS_ADCE4921E","Traes_2BS_ADCE4921E")</f>
        <v>Traes_2BS_ADCE4921E</v>
      </c>
      <c r="H373" s="8" t="str">
        <f>HYPERLINK("http://plants.ensembl.org/Brachypodium_distachyon/Gene/Summary?g=Bradi1g22863","Bradi1g22863")</f>
        <v>Bradi1g22863</v>
      </c>
      <c r="I373" s="1" t="s">
        <v>1051</v>
      </c>
      <c r="J373" s="9" t="str">
        <f>HYPERLINK("http://plants.ensembl.org/Oryza_sativa/Gene/Summary?db=otherfeatures;g=LOC_Os07g40240","LOC_Os07g40240")</f>
        <v>LOC_Os07g40240</v>
      </c>
      <c r="L373" s="6"/>
      <c r="M373" s="1" t="s">
        <v>973</v>
      </c>
      <c r="N373" s="1" t="s">
        <v>973</v>
      </c>
      <c r="O373" s="1" t="s">
        <v>973</v>
      </c>
      <c r="P373" s="1" t="s">
        <v>973</v>
      </c>
      <c r="Q373" s="1" t="s">
        <v>973</v>
      </c>
      <c r="R373" s="1">
        <v>1</v>
      </c>
      <c r="S373" s="1"/>
      <c r="T373" s="6"/>
      <c r="U373" s="11">
        <v>4.8211200245770902</v>
      </c>
      <c r="V373" s="11">
        <v>6.2336592984050041</v>
      </c>
      <c r="W373" s="11">
        <v>5.1321326150362019</v>
      </c>
      <c r="X373" s="11">
        <v>6.6951958058375709</v>
      </c>
      <c r="Y373" s="11">
        <v>5.6569634642213922</v>
      </c>
      <c r="Z373" s="11">
        <v>7.5342668227348115</v>
      </c>
      <c r="AA373" s="11">
        <v>6.2063983784426862</v>
      </c>
      <c r="AB373" s="11">
        <v>6.8393066840737742</v>
      </c>
      <c r="AC373" s="11">
        <v>4.377757710622654</v>
      </c>
      <c r="AD373" s="11">
        <v>6.9462302273427126</v>
      </c>
      <c r="AE373" s="11">
        <v>5.7207435991913869</v>
      </c>
      <c r="AF373" s="11">
        <v>7.341526235917482</v>
      </c>
      <c r="AG373" s="11">
        <v>4.7766620030419507</v>
      </c>
      <c r="AH373" s="11">
        <v>7.6683441972142257</v>
      </c>
      <c r="AI373" s="11">
        <v>4.4748340328671441</v>
      </c>
      <c r="AJ373" s="11">
        <v>6.8008731591365974</v>
      </c>
      <c r="AK373" s="6"/>
      <c r="AL373" t="s">
        <v>1081</v>
      </c>
      <c r="AM373">
        <v>0</v>
      </c>
      <c r="AN373" s="6"/>
      <c r="AO373" s="20">
        <v>0.54700000000000004</v>
      </c>
      <c r="AP373" s="20">
        <v>-0.70050000000000001</v>
      </c>
      <c r="AQ373" s="20">
        <v>-0.59079999999999999</v>
      </c>
      <c r="AR373" s="20">
        <v>-0.64559999999999995</v>
      </c>
      <c r="AS373" s="20">
        <v>0.8881</v>
      </c>
      <c r="AT373" s="20">
        <v>-0.12920000000000001</v>
      </c>
      <c r="AU373" s="20">
        <v>1.7567999999999999</v>
      </c>
      <c r="AV373" s="20">
        <v>3.8600000000000002E-2</v>
      </c>
      <c r="AW373" s="6"/>
      <c r="AX373" s="18">
        <v>0.38279999999999997</v>
      </c>
      <c r="AY373" s="18">
        <v>0.2487</v>
      </c>
      <c r="AZ373" s="18">
        <v>0.30859999999999999</v>
      </c>
      <c r="BA373" s="18">
        <v>0.25519999999999998</v>
      </c>
      <c r="BB373" s="18">
        <v>0.1265</v>
      </c>
      <c r="BC373" s="18">
        <v>0.81889999999999996</v>
      </c>
      <c r="BD373" s="18">
        <v>2.6570000000000001E-3</v>
      </c>
      <c r="BE373" s="18">
        <v>0.94579999999999997</v>
      </c>
      <c r="BF373" s="13"/>
      <c r="BG373" t="s">
        <v>1111</v>
      </c>
      <c r="BH373" t="s">
        <v>1112</v>
      </c>
      <c r="BI373" t="s">
        <v>1113</v>
      </c>
      <c r="BJ373" t="s">
        <v>1219</v>
      </c>
      <c r="BK373" t="s">
        <v>1139</v>
      </c>
      <c r="BL373" t="s">
        <v>1116</v>
      </c>
      <c r="BM373" t="s">
        <v>1117</v>
      </c>
      <c r="BN373" s="13"/>
      <c r="BO373" t="s">
        <v>973</v>
      </c>
      <c r="BP373" t="s">
        <v>973</v>
      </c>
      <c r="BQ373" t="s">
        <v>973</v>
      </c>
      <c r="BR373" t="s">
        <v>973</v>
      </c>
    </row>
    <row r="374" spans="1:70" x14ac:dyDescent="0.25">
      <c r="A374" t="s">
        <v>259</v>
      </c>
      <c r="B374" t="s">
        <v>204</v>
      </c>
      <c r="C374" t="s">
        <v>205</v>
      </c>
      <c r="D374" s="6"/>
      <c r="E374" s="9" t="str">
        <f>HYPERLINK("http://plants.ensembl.org/Triticum_aestivum/Gene/Summary?g=TRIAE_CS42_2DS_TGACv1_179436_AA0607130","TRIAE_CS42_2DS_TGACv1_179436_AA0607130")</f>
        <v>TRIAE_CS42_2DS_TGACv1_179436_AA0607130</v>
      </c>
      <c r="F374" s="9" t="str">
        <f>HYPERLINK("http://mar2016-plants.ensembl.org/Triticum_aestivum/Gene/Summary?db=core;g=Traes_2DS_5DD589A3D","Traes_2DS_5DD589A3D")</f>
        <v>Traes_2DS_5DD589A3D</v>
      </c>
      <c r="H374" s="8" t="str">
        <f>HYPERLINK("http://plants.ensembl.org/Brachypodium_distachyon/Gene/Summary?g=Bradi1g22863","Bradi1g22863")</f>
        <v>Bradi1g22863</v>
      </c>
      <c r="I374" s="1" t="s">
        <v>1051</v>
      </c>
      <c r="J374" s="9" t="str">
        <f>HYPERLINK("http://plants.ensembl.org/Oryza_sativa/Gene/Summary?db=otherfeatures;g=LOC_Os07g40240","LOC_Os07g40240")</f>
        <v>LOC_Os07g40240</v>
      </c>
      <c r="L374" s="6"/>
      <c r="M374" s="1" t="s">
        <v>973</v>
      </c>
      <c r="N374" s="1" t="s">
        <v>973</v>
      </c>
      <c r="O374" s="1" t="s">
        <v>973</v>
      </c>
      <c r="P374" s="1" t="s">
        <v>973</v>
      </c>
      <c r="Q374" s="1" t="s">
        <v>973</v>
      </c>
      <c r="R374" s="1">
        <v>1</v>
      </c>
      <c r="S374" s="1"/>
      <c r="T374" s="6"/>
      <c r="U374" s="11">
        <v>7.1648754249766338</v>
      </c>
      <c r="V374" s="11">
        <v>6.9884832255250036</v>
      </c>
      <c r="W374" s="11">
        <v>6.8041422098263045</v>
      </c>
      <c r="X374" s="11">
        <v>8.1203903049917532</v>
      </c>
      <c r="Y374" s="11">
        <v>7.3209704888745479</v>
      </c>
      <c r="Z374" s="11">
        <v>8.6445833652310924</v>
      </c>
      <c r="AA374" s="11">
        <v>7.6631650304220935</v>
      </c>
      <c r="AB374" s="11">
        <v>7.9831201613536633</v>
      </c>
      <c r="AC374" s="11">
        <v>6.3127668091216584</v>
      </c>
      <c r="AD374" s="11">
        <v>8.7716166763612229</v>
      </c>
      <c r="AE374" s="11">
        <v>7.2205340771429931</v>
      </c>
      <c r="AF374" s="11">
        <v>8.9762759852218874</v>
      </c>
      <c r="AG374" s="11">
        <v>6.3683044846149048</v>
      </c>
      <c r="AH374" s="11">
        <v>8.9647770281633719</v>
      </c>
      <c r="AI374" s="11">
        <v>5.8537345549475113</v>
      </c>
      <c r="AJ374" s="11">
        <v>8.4703938303308721</v>
      </c>
      <c r="AK374" s="6"/>
      <c r="AL374" t="s">
        <v>1082</v>
      </c>
      <c r="AM374">
        <v>0</v>
      </c>
      <c r="AN374" s="6"/>
      <c r="AO374" s="20">
        <v>0.83860000000000001</v>
      </c>
      <c r="AP374" s="20">
        <v>-1.7579</v>
      </c>
      <c r="AQ374" s="20">
        <v>-0.4138</v>
      </c>
      <c r="AR374" s="20">
        <v>-0.85160000000000002</v>
      </c>
      <c r="AS374" s="20">
        <v>0.95269999999999999</v>
      </c>
      <c r="AT374" s="20">
        <v>-0.31609999999999999</v>
      </c>
      <c r="AU374" s="20">
        <v>1.8149999999999999</v>
      </c>
      <c r="AV374" s="20">
        <v>-0.48470000000000002</v>
      </c>
      <c r="AW374" s="6"/>
      <c r="AX374" s="18">
        <v>5.9880000000000003E-2</v>
      </c>
      <c r="AY374" s="18">
        <v>1.18E-4</v>
      </c>
      <c r="AZ374" s="18">
        <v>0.33950000000000002</v>
      </c>
      <c r="BA374" s="18">
        <v>4.6449999999999998E-2</v>
      </c>
      <c r="BB374" s="18">
        <v>2.7949999999999999E-2</v>
      </c>
      <c r="BC374" s="18">
        <v>0.45900000000000002</v>
      </c>
      <c r="BD374" s="18">
        <v>3.2530000000000002E-5</v>
      </c>
      <c r="BE374" s="18">
        <v>0.25800000000000001</v>
      </c>
      <c r="BF374" s="13"/>
      <c r="BG374" t="s">
        <v>1304</v>
      </c>
      <c r="BH374" t="s">
        <v>1141</v>
      </c>
      <c r="BI374" t="s">
        <v>1113</v>
      </c>
      <c r="BJ374" t="s">
        <v>1219</v>
      </c>
      <c r="BK374" t="s">
        <v>1139</v>
      </c>
      <c r="BL374" t="s">
        <v>1116</v>
      </c>
      <c r="BM374" t="s">
        <v>1117</v>
      </c>
      <c r="BN374" s="13"/>
      <c r="BO374" t="s">
        <v>973</v>
      </c>
      <c r="BP374" t="s">
        <v>973</v>
      </c>
      <c r="BQ374" t="s">
        <v>973</v>
      </c>
      <c r="BR374" t="s">
        <v>973</v>
      </c>
    </row>
    <row r="375" spans="1:70" x14ac:dyDescent="0.25">
      <c r="A375" t="s">
        <v>854</v>
      </c>
      <c r="B375" t="s">
        <v>855</v>
      </c>
      <c r="C375" t="s">
        <v>856</v>
      </c>
      <c r="D375" s="6"/>
      <c r="E375" s="9" t="str">
        <f>HYPERLINK("http://plants.ensembl.org/Triticum_aestivum/Gene/Summary?g=TRIAE_CS42_7AS_TGACv1_569647_AA1821120","TRIAE_CS42_7AS_TGACv1_569647_AA1821120")</f>
        <v>TRIAE_CS42_7AS_TGACv1_569647_AA1821120</v>
      </c>
      <c r="F375" s="9" t="str">
        <f>HYPERLINK("http://mar2016-plants.ensembl.org/Triticum_aestivum/Gene/Summary?db=core;g=Traes_7AS_F91D8701E","Traes_7AS_F91D8701E")</f>
        <v>Traes_7AS_F91D8701E</v>
      </c>
      <c r="H375" s="8" t="str">
        <f>HYPERLINK("http://plants.ensembl.org/Brachypodium_distachyon/Gene/Summary?g=Bradi1g43851","Bradi1g43851")</f>
        <v>Bradi1g43851</v>
      </c>
      <c r="I375" s="1" t="s">
        <v>1051</v>
      </c>
      <c r="J375" s="9" t="str">
        <f>HYPERLINK("http://plants.ensembl.org/Oryza_sativa/Gene/Summary?db=otherfeatures;g=LOC_Os06g15620","LOC_Os06g15620")</f>
        <v>LOC_Os06g15620</v>
      </c>
      <c r="L375" s="6"/>
      <c r="M375" s="1" t="s">
        <v>973</v>
      </c>
      <c r="N375" s="1" t="s">
        <v>973</v>
      </c>
      <c r="O375" s="1" t="s">
        <v>973</v>
      </c>
      <c r="P375" s="1" t="s">
        <v>973</v>
      </c>
      <c r="Q375" s="1" t="s">
        <v>973</v>
      </c>
      <c r="R375" s="1">
        <v>1</v>
      </c>
      <c r="S375" s="1"/>
      <c r="T375" s="6"/>
      <c r="U375" s="11">
        <v>5.5543698728336102</v>
      </c>
      <c r="V375" s="11">
        <v>4.2606404523737842</v>
      </c>
      <c r="W375" s="11">
        <v>6.5883383616293321</v>
      </c>
      <c r="X375" s="11">
        <v>5.2773500201837935</v>
      </c>
      <c r="Y375" s="11">
        <v>7.676084247873451</v>
      </c>
      <c r="Z375" s="11">
        <v>6.3483315798660191</v>
      </c>
      <c r="AA375" s="11">
        <v>6.6333798645338229</v>
      </c>
      <c r="AB375" s="11">
        <v>5.1180523479981579</v>
      </c>
      <c r="AC375" s="11">
        <v>5.8653868587522222</v>
      </c>
      <c r="AD375" s="11">
        <v>5.0261936459608059</v>
      </c>
      <c r="AE375" s="11">
        <v>6.5050895627321283</v>
      </c>
      <c r="AF375" s="11">
        <v>5.366770982898144</v>
      </c>
      <c r="AG375" s="11">
        <v>7.6195920157605688</v>
      </c>
      <c r="AH375" s="11">
        <v>5.9683334854223187</v>
      </c>
      <c r="AI375" s="11">
        <v>5.8421827002632964</v>
      </c>
      <c r="AJ375" s="11">
        <v>4.6626156863713177</v>
      </c>
      <c r="AK375" s="6"/>
      <c r="AL375" t="s">
        <v>1075</v>
      </c>
      <c r="AM375">
        <v>0</v>
      </c>
      <c r="AN375" s="6"/>
      <c r="AO375" s="20">
        <v>-0.35049999999999998</v>
      </c>
      <c r="AP375" s="20">
        <v>-0.61119999999999997</v>
      </c>
      <c r="AQ375" s="20">
        <v>8.5000000000000006E-2</v>
      </c>
      <c r="AR375" s="20">
        <v>-0.1119</v>
      </c>
      <c r="AS375" s="20">
        <v>5.5E-2</v>
      </c>
      <c r="AT375" s="20">
        <v>0.38790000000000002</v>
      </c>
      <c r="AU375" s="20">
        <v>0.79620000000000002</v>
      </c>
      <c r="AV375" s="20">
        <v>0.46139999999999998</v>
      </c>
      <c r="AW375" s="6"/>
      <c r="AX375" s="18">
        <v>0.46010000000000001</v>
      </c>
      <c r="AY375" s="18">
        <v>0.30049999999999999</v>
      </c>
      <c r="AZ375" s="18">
        <v>0.84650000000000003</v>
      </c>
      <c r="BA375" s="18">
        <v>0.80759999999999998</v>
      </c>
      <c r="BB375" s="18">
        <v>0.89859999999999995</v>
      </c>
      <c r="BC375" s="18">
        <v>0.3831</v>
      </c>
      <c r="BD375" s="18">
        <v>7.1499999999999994E-2</v>
      </c>
      <c r="BE375" s="18">
        <v>0.32650000000000001</v>
      </c>
      <c r="BF375" s="13"/>
      <c r="BG375" t="s">
        <v>1111</v>
      </c>
      <c r="BH375" t="s">
        <v>1171</v>
      </c>
      <c r="BI375" t="s">
        <v>1172</v>
      </c>
      <c r="BJ375" t="s">
        <v>1169</v>
      </c>
      <c r="BK375" t="s">
        <v>1208</v>
      </c>
      <c r="BL375" t="s">
        <v>1116</v>
      </c>
      <c r="BM375" t="s">
        <v>1321</v>
      </c>
      <c r="BN375" s="13"/>
      <c r="BO375" t="s">
        <v>973</v>
      </c>
      <c r="BP375" t="s">
        <v>973</v>
      </c>
      <c r="BQ375" t="s">
        <v>973</v>
      </c>
      <c r="BR375" t="s">
        <v>973</v>
      </c>
    </row>
    <row r="376" spans="1:70" x14ac:dyDescent="0.25">
      <c r="A376" t="s">
        <v>908</v>
      </c>
      <c r="B376" t="s">
        <v>909</v>
      </c>
      <c r="C376" t="s">
        <v>856</v>
      </c>
      <c r="D376" s="6"/>
      <c r="E376" s="9" t="str">
        <f>HYPERLINK("http://plants.ensembl.org/Triticum_aestivum/Gene/Summary?g=TRIAE_CS42_7BS_TGACv1_593258_AA1949920","TRIAE_CS42_7BS_TGACv1_593258_AA1949920")</f>
        <v>TRIAE_CS42_7BS_TGACv1_593258_AA1949920</v>
      </c>
      <c r="H376" s="8" t="str">
        <f>HYPERLINK("http://plants.ensembl.org/Brachypodium_distachyon/Gene/Summary?g=Bradi1g43851","Bradi1g43851")</f>
        <v>Bradi1g43851</v>
      </c>
      <c r="I376" s="1" t="s">
        <v>1051</v>
      </c>
      <c r="J376" s="9" t="str">
        <f>HYPERLINK("http://plants.ensembl.org/Oryza_sativa/Gene/Summary?db=otherfeatures;g=LOC_Os06g15620","LOC_Os06g15620")</f>
        <v>LOC_Os06g15620</v>
      </c>
      <c r="L376" s="6"/>
      <c r="M376" s="1" t="s">
        <v>973</v>
      </c>
      <c r="N376" s="1" t="s">
        <v>973</v>
      </c>
      <c r="O376" s="1" t="s">
        <v>973</v>
      </c>
      <c r="P376" s="1" t="s">
        <v>973</v>
      </c>
      <c r="Q376" s="1" t="s">
        <v>973</v>
      </c>
      <c r="R376" s="1">
        <v>1</v>
      </c>
      <c r="S376" s="1"/>
      <c r="T376" s="6"/>
      <c r="U376" s="11">
        <v>7.5529784785617498</v>
      </c>
      <c r="V376" s="11">
        <v>6.4088980725946012</v>
      </c>
      <c r="W376" s="11">
        <v>8.3077625954947329</v>
      </c>
      <c r="X376" s="11">
        <v>8.0290749718166996</v>
      </c>
      <c r="Y376" s="11">
        <v>8.7423856815829399</v>
      </c>
      <c r="Z376" s="11">
        <v>8.4847937648846692</v>
      </c>
      <c r="AA376" s="11">
        <v>8.5851181581166855</v>
      </c>
      <c r="AB376" s="11">
        <v>7.3882386251565206</v>
      </c>
      <c r="AC376" s="11">
        <v>7.4542932609551791</v>
      </c>
      <c r="AD376" s="11">
        <v>8.1504557625061835</v>
      </c>
      <c r="AE376" s="11">
        <v>8.4958419719699325</v>
      </c>
      <c r="AF376" s="11">
        <v>8.4710354100096161</v>
      </c>
      <c r="AG376" s="11">
        <v>8.1711065589240945</v>
      </c>
      <c r="AH376" s="11">
        <v>8.1603755193483085</v>
      </c>
      <c r="AI376" s="11">
        <v>7.4591455104004742</v>
      </c>
      <c r="AJ376" s="11">
        <v>7.7235954201667605</v>
      </c>
      <c r="AK376" s="6"/>
      <c r="AL376" t="s">
        <v>1095</v>
      </c>
      <c r="AM376">
        <v>0</v>
      </c>
      <c r="AN376" s="6"/>
      <c r="AO376" s="20">
        <v>8.3299999999999999E-2</v>
      </c>
      <c r="AP376" s="20">
        <v>-1.6977</v>
      </c>
      <c r="AQ376" s="20">
        <v>-0.1862</v>
      </c>
      <c r="AR376" s="20">
        <v>-0.44269999999999998</v>
      </c>
      <c r="AS376" s="20">
        <v>0.56950000000000001</v>
      </c>
      <c r="AT376" s="20">
        <v>0.32619999999999999</v>
      </c>
      <c r="AU376" s="20">
        <v>1.1237999999999999</v>
      </c>
      <c r="AV376" s="20">
        <v>-0.33489999999999998</v>
      </c>
      <c r="AW376" s="6"/>
      <c r="AX376" s="18">
        <v>0.82199999999999995</v>
      </c>
      <c r="AY376" s="18">
        <v>3.1029999999999999E-5</v>
      </c>
      <c r="AZ376" s="18">
        <v>0.60260000000000002</v>
      </c>
      <c r="BA376" s="18">
        <v>0.21740000000000001</v>
      </c>
      <c r="BB376" s="18">
        <v>0.1108</v>
      </c>
      <c r="BC376" s="18">
        <v>0.36280000000000001</v>
      </c>
      <c r="BD376" s="18">
        <v>1.7539999999999999E-3</v>
      </c>
      <c r="BE376" s="18">
        <v>0.35510000000000003</v>
      </c>
      <c r="BF376" s="13"/>
      <c r="BG376" t="s">
        <v>1304</v>
      </c>
      <c r="BH376" t="s">
        <v>1396</v>
      </c>
      <c r="BI376" t="s">
        <v>1137</v>
      </c>
      <c r="BJ376" t="s">
        <v>1237</v>
      </c>
      <c r="BK376" t="s">
        <v>1115</v>
      </c>
      <c r="BL376" t="s">
        <v>1301</v>
      </c>
      <c r="BM376" t="s">
        <v>1117</v>
      </c>
      <c r="BN376" s="13"/>
      <c r="BO376" t="s">
        <v>973</v>
      </c>
      <c r="BP376" t="s">
        <v>973</v>
      </c>
      <c r="BQ376" t="s">
        <v>973</v>
      </c>
      <c r="BR376" t="s">
        <v>973</v>
      </c>
    </row>
    <row r="377" spans="1:70" x14ac:dyDescent="0.25">
      <c r="A377" t="s">
        <v>943</v>
      </c>
      <c r="B377" t="s">
        <v>855</v>
      </c>
      <c r="C377" t="s">
        <v>856</v>
      </c>
      <c r="D377" s="6"/>
      <c r="E377" s="9" t="str">
        <f>HYPERLINK("http://plants.ensembl.org/Triticum_aestivum/Gene/Summary?g=TRIAE_CS42_7DS_TGACv1_622044_AA2031550","TRIAE_CS42_7DS_TGACv1_622044_AA2031550")</f>
        <v>TRIAE_CS42_7DS_TGACv1_622044_AA2031550</v>
      </c>
      <c r="F377" s="9" t="str">
        <f>HYPERLINK("http://mar2016-plants.ensembl.org/Triticum_aestivum/Gene/Summary?db=core;g=Traes_7DS_83C6A7A6D","Traes_7DS_83C6A7A6D")</f>
        <v>Traes_7DS_83C6A7A6D</v>
      </c>
      <c r="G377" t="s">
        <v>1045</v>
      </c>
      <c r="H377" s="8" t="str">
        <f>HYPERLINK("http://plants.ensembl.org/Brachypodium_distachyon/Gene/Summary?g=Bradi1g43851","Bradi1g43851")</f>
        <v>Bradi1g43851</v>
      </c>
      <c r="I377" s="8" t="str">
        <f>HYPERLINK("http://plants.ensembl.org/Arabidopsis_thaliana/Gene/Summary?g=AT5G15230","AT5G15230")</f>
        <v>AT5G15230</v>
      </c>
      <c r="J377" s="9" t="str">
        <f>HYPERLINK("http://plants.ensembl.org/Oryza_sativa/Gene/Summary?db=otherfeatures;g=LOC_Os06g15620","LOC_Os06g15620")</f>
        <v>LOC_Os06g15620</v>
      </c>
      <c r="K377" s="9" t="str">
        <f>HYPERLINK("http://plants.ensembl.org/Zea_mays/Gene/Summary?db=otherfeatures;g=GRMZM2G105364","GRMZM2G105364")</f>
        <v>GRMZM2G105364</v>
      </c>
      <c r="L377" s="6"/>
      <c r="M377">
        <v>1</v>
      </c>
      <c r="N377" t="s">
        <v>973</v>
      </c>
      <c r="O377" t="s">
        <v>973</v>
      </c>
      <c r="P377" t="s">
        <v>973</v>
      </c>
      <c r="R377">
        <v>1</v>
      </c>
      <c r="S377" t="s">
        <v>973</v>
      </c>
      <c r="T377" s="6"/>
      <c r="U377" s="11">
        <v>6.8230822822893815</v>
      </c>
      <c r="V377" s="11">
        <v>5.1598551946456679</v>
      </c>
      <c r="W377" s="11">
        <v>7.4410869739020091</v>
      </c>
      <c r="X377" s="11">
        <v>6.8931332319067966</v>
      </c>
      <c r="Y377" s="11">
        <v>7.7692527146267958</v>
      </c>
      <c r="Z377" s="11">
        <v>7.1826850151715211</v>
      </c>
      <c r="AA377" s="11">
        <v>7.9113502394701438</v>
      </c>
      <c r="AB377" s="11">
        <v>6.6205776135040759</v>
      </c>
      <c r="AC377" s="11">
        <v>6.9162736018748241</v>
      </c>
      <c r="AD377" s="11">
        <v>7.112554188008013</v>
      </c>
      <c r="AE377" s="11">
        <v>7.9722340813141352</v>
      </c>
      <c r="AF377" s="11">
        <v>7.5746687031926632</v>
      </c>
      <c r="AG377" s="11">
        <v>7.4494692086565886</v>
      </c>
      <c r="AH377" s="11">
        <v>7.32581512479626</v>
      </c>
      <c r="AI377" s="11">
        <v>7.0440581800398343</v>
      </c>
      <c r="AJ377" s="11">
        <v>7.2386811497747896</v>
      </c>
      <c r="AK377" s="6"/>
      <c r="AL377" t="s">
        <v>1095</v>
      </c>
      <c r="AM377">
        <v>0</v>
      </c>
      <c r="AN377" s="6"/>
      <c r="AO377" s="20">
        <v>-0.155</v>
      </c>
      <c r="AP377" s="20">
        <v>-2.0951</v>
      </c>
      <c r="AQ377" s="20">
        <v>-0.52890000000000004</v>
      </c>
      <c r="AR377" s="20">
        <v>-0.69230000000000003</v>
      </c>
      <c r="AS377" s="20">
        <v>0.32029999999999997</v>
      </c>
      <c r="AT377" s="20">
        <v>-0.1343</v>
      </c>
      <c r="AU377" s="20">
        <v>0.86950000000000005</v>
      </c>
      <c r="AV377" s="20">
        <v>-0.62109999999999999</v>
      </c>
      <c r="AW377" s="6"/>
      <c r="AX377" s="18">
        <v>0.59719999999999995</v>
      </c>
      <c r="AY377" s="18">
        <v>8.769E-8</v>
      </c>
      <c r="AZ377" s="18">
        <v>4.8899999999999999E-2</v>
      </c>
      <c r="BA377" s="18">
        <v>1.158E-2</v>
      </c>
      <c r="BB377" s="18">
        <v>0.23250000000000001</v>
      </c>
      <c r="BC377" s="18">
        <v>0.62260000000000004</v>
      </c>
      <c r="BD377" s="18">
        <v>1.276E-3</v>
      </c>
      <c r="BE377" s="18">
        <v>2.529E-2</v>
      </c>
      <c r="BF377" s="13"/>
      <c r="BG377" t="s">
        <v>1128</v>
      </c>
      <c r="BH377" t="s">
        <v>1396</v>
      </c>
      <c r="BI377" t="s">
        <v>1137</v>
      </c>
      <c r="BJ377" t="s">
        <v>1237</v>
      </c>
      <c r="BK377" t="s">
        <v>1115</v>
      </c>
      <c r="BL377" t="s">
        <v>1116</v>
      </c>
      <c r="BM377" t="s">
        <v>1117</v>
      </c>
      <c r="BN377" s="13"/>
      <c r="BO377" t="s">
        <v>973</v>
      </c>
      <c r="BP377" t="s">
        <v>973</v>
      </c>
      <c r="BQ377" t="s">
        <v>973</v>
      </c>
      <c r="BR377" t="s">
        <v>973</v>
      </c>
    </row>
    <row r="378" spans="1:70" x14ac:dyDescent="0.25">
      <c r="A378" t="s">
        <v>645</v>
      </c>
      <c r="B378" t="s">
        <v>646</v>
      </c>
      <c r="C378" t="s">
        <v>647</v>
      </c>
      <c r="D378" s="6"/>
      <c r="E378" s="9" t="str">
        <f>HYPERLINK("http://plants.ensembl.org/Triticum_aestivum/Gene/Summary?g=TRIAE_CS42_5AL_TGACv1_375002_AA1213750","TRIAE_CS42_5AL_TGACv1_375002_AA1213750")</f>
        <v>TRIAE_CS42_5AL_TGACv1_375002_AA1213750</v>
      </c>
      <c r="H378" s="1" t="s">
        <v>1051</v>
      </c>
      <c r="I378" s="1" t="s">
        <v>1051</v>
      </c>
      <c r="J378" s="1" t="s">
        <v>1051</v>
      </c>
      <c r="L378" s="6"/>
      <c r="M378" s="1" t="s">
        <v>973</v>
      </c>
      <c r="N378" s="1" t="s">
        <v>973</v>
      </c>
      <c r="O378" s="1" t="s">
        <v>973</v>
      </c>
      <c r="P378" s="1" t="s">
        <v>973</v>
      </c>
      <c r="Q378" s="1" t="s">
        <v>973</v>
      </c>
      <c r="R378" s="1">
        <v>1</v>
      </c>
      <c r="S378" s="1"/>
      <c r="T378" s="6"/>
      <c r="U378" s="11">
        <v>5.7379093489824751</v>
      </c>
      <c r="V378" s="11">
        <v>3.7994810914904633</v>
      </c>
      <c r="W378" s="11">
        <v>7.5008971038173797</v>
      </c>
      <c r="X378" s="11">
        <v>6.1792881000368052</v>
      </c>
      <c r="Y378" s="11">
        <v>7.2736964639357931</v>
      </c>
      <c r="Z378" s="11">
        <v>6.152862818729095</v>
      </c>
      <c r="AA378" s="11">
        <v>7.9659673991311912</v>
      </c>
      <c r="AB378" s="11">
        <v>5.7944011360552699</v>
      </c>
      <c r="AC378" s="11">
        <v>6.5590604085903097</v>
      </c>
      <c r="AD378" s="11">
        <v>6.6362669231621556</v>
      </c>
      <c r="AE378" s="11">
        <v>8.4372078992778992</v>
      </c>
      <c r="AF378" s="11">
        <v>7.647086851656022</v>
      </c>
      <c r="AG378" s="11">
        <v>8.1907225052621229</v>
      </c>
      <c r="AH378" s="11">
        <v>7.1117338428874852</v>
      </c>
      <c r="AI378" s="11">
        <v>7.5655210180670576</v>
      </c>
      <c r="AJ378" s="11">
        <v>6.723961680710282</v>
      </c>
      <c r="AK378" s="6"/>
      <c r="AL378" t="s">
        <v>1075</v>
      </c>
      <c r="AM378">
        <v>0</v>
      </c>
      <c r="AN378" s="6"/>
      <c r="AO378" s="20">
        <v>-0.89600000000000002</v>
      </c>
      <c r="AP378" s="20">
        <v>-3.0952999999999999</v>
      </c>
      <c r="AQ378" s="20">
        <v>-0.93079999999999996</v>
      </c>
      <c r="AR378" s="20">
        <v>-1.4666999999999999</v>
      </c>
      <c r="AS378" s="20">
        <v>-0.91310000000000002</v>
      </c>
      <c r="AT378" s="20">
        <v>-0.9496</v>
      </c>
      <c r="AU378" s="20">
        <v>0.39939999999999998</v>
      </c>
      <c r="AV378" s="20">
        <v>-0.93179999999999996</v>
      </c>
      <c r="AW378" s="6"/>
      <c r="AX378" s="18">
        <v>5.9540000000000003E-2</v>
      </c>
      <c r="AY378" s="18">
        <v>1.615E-6</v>
      </c>
      <c r="AZ378" s="18">
        <v>3.4799999999999998E-2</v>
      </c>
      <c r="BA378" s="18">
        <v>1.075E-3</v>
      </c>
      <c r="BB378" s="18">
        <v>3.8830000000000003E-2</v>
      </c>
      <c r="BC378" s="18">
        <v>3.4569999999999997E-2</v>
      </c>
      <c r="BD378" s="18">
        <v>0.3654</v>
      </c>
      <c r="BE378" s="18">
        <v>4.0340000000000001E-2</v>
      </c>
      <c r="BF378" s="13"/>
      <c r="BG378" t="s">
        <v>1291</v>
      </c>
      <c r="BH378" t="s">
        <v>1324</v>
      </c>
      <c r="BI378" t="s">
        <v>1311</v>
      </c>
      <c r="BJ378" t="s">
        <v>1238</v>
      </c>
      <c r="BK378" t="s">
        <v>1115</v>
      </c>
      <c r="BL378" t="s">
        <v>1116</v>
      </c>
      <c r="BM378" t="s">
        <v>1117</v>
      </c>
      <c r="BN378" s="13"/>
      <c r="BO378" t="s">
        <v>973</v>
      </c>
      <c r="BP378" t="s">
        <v>973</v>
      </c>
      <c r="BQ378" t="s">
        <v>973</v>
      </c>
      <c r="BR378" t="s">
        <v>973</v>
      </c>
    </row>
    <row r="379" spans="1:70" x14ac:dyDescent="0.25">
      <c r="A379" t="s">
        <v>648</v>
      </c>
      <c r="B379" t="s">
        <v>649</v>
      </c>
      <c r="C379" t="s">
        <v>647</v>
      </c>
      <c r="D379" s="6"/>
      <c r="E379" s="9" t="str">
        <f>HYPERLINK("http://plants.ensembl.org/Triticum_aestivum/Gene/Summary?g=TRIAE_CS42_5AL_TGACv1_377138_AA1244440","TRIAE_CS42_5AL_TGACv1_377138_AA1244440")</f>
        <v>TRIAE_CS42_5AL_TGACv1_377138_AA1244440</v>
      </c>
      <c r="F379" s="9" t="str">
        <f>HYPERLINK("http://mar2016-plants.ensembl.org/Triticum_aestivum/Gene/Summary?db=core;g=Traes_5AL_23DA4A352","Traes_5AL_23DA4A352")</f>
        <v>Traes_5AL_23DA4A352</v>
      </c>
      <c r="H379" s="8" t="str">
        <f>HYPERLINK("http://plants.ensembl.org/Brachypodium_distachyon/Gene/Summary?g=Bradi1g07890","Bradi1g07890")</f>
        <v>Bradi1g07890</v>
      </c>
      <c r="I379" s="8" t="str">
        <f>HYPERLINK("http://plants.ensembl.org/Arabidopsis_thaliana/Gene/Summary?g=AT2G39540","AT2G39540")</f>
        <v>AT2G39540</v>
      </c>
      <c r="J379" s="9" t="str">
        <f>HYPERLINK("http://plants.ensembl.org/Oryza_sativa/Gene/Summary?db=otherfeatures;g=LOC_Os03g55290","LOC_Os03g55290")</f>
        <v>LOC_Os03g55290</v>
      </c>
      <c r="L379" s="6"/>
      <c r="M379" s="1" t="s">
        <v>973</v>
      </c>
      <c r="N379" s="1" t="s">
        <v>973</v>
      </c>
      <c r="O379" s="1" t="s">
        <v>973</v>
      </c>
      <c r="P379" s="1" t="s">
        <v>973</v>
      </c>
      <c r="Q379" s="1" t="s">
        <v>973</v>
      </c>
      <c r="R379" s="1">
        <v>1</v>
      </c>
      <c r="S379" s="1"/>
      <c r="T379" s="6"/>
      <c r="U379" s="11">
        <v>7.2650877198966315</v>
      </c>
      <c r="V379" s="11">
        <v>6.0282759276359377</v>
      </c>
      <c r="W379" s="11">
        <v>6.4257558073874268</v>
      </c>
      <c r="X379" s="11">
        <v>7.7115875959111397</v>
      </c>
      <c r="Y379" s="11">
        <v>6.7762514092311354</v>
      </c>
      <c r="Z379" s="11">
        <v>7.910129614377019</v>
      </c>
      <c r="AA379" s="11">
        <v>6.5378965472778514</v>
      </c>
      <c r="AB379" s="11">
        <v>7.6186987251927727</v>
      </c>
      <c r="AC379" s="11">
        <v>6.6960049449731329</v>
      </c>
      <c r="AD379" s="11">
        <v>8.2070768111981209</v>
      </c>
      <c r="AE379" s="11">
        <v>7.047840081959424</v>
      </c>
      <c r="AF379" s="11">
        <v>8.8409173092067661</v>
      </c>
      <c r="AG379" s="11">
        <v>6.823459382747191</v>
      </c>
      <c r="AH379" s="11">
        <v>8.5393439192410039</v>
      </c>
      <c r="AI379" s="11">
        <v>6.4125562983215465</v>
      </c>
      <c r="AJ379" s="11">
        <v>8.2912253510597278</v>
      </c>
      <c r="AK379" s="6"/>
      <c r="AL379" t="s">
        <v>1082</v>
      </c>
      <c r="AM379">
        <v>0</v>
      </c>
      <c r="AN379" s="6"/>
      <c r="AO379" s="20">
        <v>0.53059999999999996</v>
      </c>
      <c r="AP379" s="20">
        <v>-2.2214</v>
      </c>
      <c r="AQ379" s="20">
        <v>-0.62139999999999995</v>
      </c>
      <c r="AR379" s="20">
        <v>-1.1238999999999999</v>
      </c>
      <c r="AS379" s="20">
        <v>-4.6899999999999997E-2</v>
      </c>
      <c r="AT379" s="20">
        <v>-0.62580000000000002</v>
      </c>
      <c r="AU379" s="20">
        <v>0.13139999999999999</v>
      </c>
      <c r="AV379" s="20">
        <v>-0.66979999999999995</v>
      </c>
      <c r="AW379" s="6"/>
      <c r="AX379" s="18">
        <v>0.21959999999999999</v>
      </c>
      <c r="AY379" s="18">
        <v>2.446E-6</v>
      </c>
      <c r="AZ379" s="18">
        <v>0.14319999999999999</v>
      </c>
      <c r="BA379" s="18">
        <v>7.1009999999999997E-3</v>
      </c>
      <c r="BB379" s="18">
        <v>0.91180000000000005</v>
      </c>
      <c r="BC379" s="18">
        <v>0.1336</v>
      </c>
      <c r="BD379" s="18">
        <v>0.75739999999999996</v>
      </c>
      <c r="BE379" s="18">
        <v>0.1095</v>
      </c>
      <c r="BF379" s="13"/>
      <c r="BG379" t="s">
        <v>1249</v>
      </c>
      <c r="BH379" t="s">
        <v>1157</v>
      </c>
      <c r="BI379" t="s">
        <v>1113</v>
      </c>
      <c r="BJ379" t="s">
        <v>1400</v>
      </c>
      <c r="BK379" t="s">
        <v>1139</v>
      </c>
      <c r="BL379" t="s">
        <v>1116</v>
      </c>
      <c r="BM379" t="s">
        <v>1117</v>
      </c>
      <c r="BN379" s="13"/>
      <c r="BO379" t="s">
        <v>973</v>
      </c>
      <c r="BP379" t="s">
        <v>973</v>
      </c>
      <c r="BQ379" t="s">
        <v>973</v>
      </c>
      <c r="BR379" t="s">
        <v>973</v>
      </c>
    </row>
    <row r="380" spans="1:70" x14ac:dyDescent="0.25">
      <c r="A380" t="s">
        <v>705</v>
      </c>
      <c r="B380" t="s">
        <v>646</v>
      </c>
      <c r="C380" t="s">
        <v>647</v>
      </c>
      <c r="D380" s="6"/>
      <c r="E380" s="9" t="str">
        <f>HYPERLINK("http://plants.ensembl.org/Triticum_aestivum/Gene/Summary?g=TRIAE_CS42_5BL_TGACv1_404222_AA1291170","TRIAE_CS42_5BL_TGACv1_404222_AA1291170")</f>
        <v>TRIAE_CS42_5BL_TGACv1_404222_AA1291170</v>
      </c>
      <c r="F380" s="9" t="str">
        <f>HYPERLINK("http://mar2016-plants.ensembl.org/Triticum_aestivum/Gene/Summary?db=core;g=Traes_5BL_7E88C4FFF","Traes_5BL_7E88C4FFF")</f>
        <v>Traes_5BL_7E88C4FFF</v>
      </c>
      <c r="H380" s="1" t="s">
        <v>1051</v>
      </c>
      <c r="I380" s="1" t="s">
        <v>1051</v>
      </c>
      <c r="J380" s="1" t="s">
        <v>1051</v>
      </c>
      <c r="L380" s="6"/>
      <c r="M380" s="1" t="s">
        <v>973</v>
      </c>
      <c r="N380" s="1" t="s">
        <v>973</v>
      </c>
      <c r="O380" s="1" t="s">
        <v>973</v>
      </c>
      <c r="P380" s="1" t="s">
        <v>973</v>
      </c>
      <c r="Q380" s="1" t="s">
        <v>973</v>
      </c>
      <c r="R380" s="1">
        <v>1</v>
      </c>
      <c r="S380" s="1"/>
      <c r="T380" s="6"/>
      <c r="U380" s="11">
        <v>5.6661648141001875</v>
      </c>
      <c r="V380" s="11">
        <v>5.1573631055844142</v>
      </c>
      <c r="W380" s="11">
        <v>4.7831335746355315</v>
      </c>
      <c r="X380" s="11">
        <v>6.1741180797595678</v>
      </c>
      <c r="Y380" s="11">
        <v>5.6350181542918953</v>
      </c>
      <c r="Z380" s="11">
        <v>6.4185874553052571</v>
      </c>
      <c r="AA380" s="11">
        <v>7.0754292314651552</v>
      </c>
      <c r="AB380" s="11">
        <v>6.6168110167616563</v>
      </c>
      <c r="AC380" s="11">
        <v>5.3980983601569372</v>
      </c>
      <c r="AD380" s="11">
        <v>7.2182151230791591</v>
      </c>
      <c r="AE380" s="11">
        <v>5.4083914529660344</v>
      </c>
      <c r="AF380" s="11">
        <v>7.1937592610085384</v>
      </c>
      <c r="AG380" s="11">
        <v>5.6292711245069222</v>
      </c>
      <c r="AH380" s="11">
        <v>6.8579743620316762</v>
      </c>
      <c r="AI380" s="11">
        <v>6.1646173532458999</v>
      </c>
      <c r="AJ380" s="11">
        <v>7.2256775720500839</v>
      </c>
      <c r="AK380" s="6"/>
      <c r="AL380" t="s">
        <v>1082</v>
      </c>
      <c r="AM380">
        <v>0</v>
      </c>
      <c r="AN380" s="6"/>
      <c r="AO380" s="20">
        <v>0.26469999999999999</v>
      </c>
      <c r="AP380" s="20">
        <v>-2.4251</v>
      </c>
      <c r="AQ380" s="20">
        <v>-0.63660000000000005</v>
      </c>
      <c r="AR380" s="20">
        <v>-1.0261</v>
      </c>
      <c r="AS380" s="20">
        <v>7.1999999999999998E-3</v>
      </c>
      <c r="AT380" s="20">
        <v>-0.432</v>
      </c>
      <c r="AU380" s="20">
        <v>0.92010000000000003</v>
      </c>
      <c r="AV380" s="20">
        <v>-0.60899999999999999</v>
      </c>
      <c r="AW380" s="6"/>
      <c r="AX380" s="18">
        <v>0.55520000000000003</v>
      </c>
      <c r="AY380" s="18">
        <v>2.1239999999999999E-6</v>
      </c>
      <c r="AZ380" s="18">
        <v>0.14199999999999999</v>
      </c>
      <c r="BA380" s="18">
        <v>1.2489999999999999E-2</v>
      </c>
      <c r="BB380" s="18">
        <v>0.98629999999999995</v>
      </c>
      <c r="BC380" s="18">
        <v>0.29170000000000001</v>
      </c>
      <c r="BD380" s="18">
        <v>2.4389999999999998E-2</v>
      </c>
      <c r="BE380" s="18">
        <v>0.13550000000000001</v>
      </c>
      <c r="BF380" s="13"/>
      <c r="BG380" t="s">
        <v>1128</v>
      </c>
      <c r="BH380" t="s">
        <v>1216</v>
      </c>
      <c r="BI380" t="s">
        <v>1113</v>
      </c>
      <c r="BJ380" t="s">
        <v>1114</v>
      </c>
      <c r="BK380" t="s">
        <v>1139</v>
      </c>
      <c r="BL380" t="s">
        <v>1218</v>
      </c>
      <c r="BM380" t="s">
        <v>1117</v>
      </c>
      <c r="BN380" s="13"/>
      <c r="BO380" t="s">
        <v>973</v>
      </c>
      <c r="BP380" t="s">
        <v>973</v>
      </c>
      <c r="BQ380" t="s">
        <v>973</v>
      </c>
      <c r="BR380" t="s">
        <v>973</v>
      </c>
    </row>
    <row r="381" spans="1:70" x14ac:dyDescent="0.25">
      <c r="A381" t="s">
        <v>746</v>
      </c>
      <c r="B381" t="s">
        <v>646</v>
      </c>
      <c r="C381" t="s">
        <v>647</v>
      </c>
      <c r="D381" s="6"/>
      <c r="E381" s="9" t="str">
        <f>HYPERLINK("http://plants.ensembl.org/Triticum_aestivum/Gene/Summary?g=TRIAE_CS42_5DL_TGACv1_435968_AA1456750","TRIAE_CS42_5DL_TGACv1_435968_AA1456750")</f>
        <v>TRIAE_CS42_5DL_TGACv1_435968_AA1456750</v>
      </c>
      <c r="F381" s="9" t="str">
        <f>HYPERLINK("http://mar2016-plants.ensembl.org/Triticum_aestivum/Gene/Summary?db=core;g=Traes_5DL_BEB7ADA1D","Traes_5DL_BEB7ADA1D")</f>
        <v>Traes_5DL_BEB7ADA1D</v>
      </c>
      <c r="H381" s="8" t="str">
        <f>HYPERLINK("http://plants.ensembl.org/Brachypodium_distachyon/Gene/Summary?g=Bradi1g07890","Bradi1g07890")</f>
        <v>Bradi1g07890</v>
      </c>
      <c r="I381" s="8" t="str">
        <f>HYPERLINK("http://plants.ensembl.org/Arabidopsis_thaliana/Gene/Summary?g=AT2G39540","AT2G39540")</f>
        <v>AT2G39540</v>
      </c>
      <c r="J381" s="9" t="str">
        <f>HYPERLINK("http://plants.ensembl.org/Oryza_sativa/Gene/Summary?db=otherfeatures;g=LOC_Os03g55290","LOC_Os03g55290")</f>
        <v>LOC_Os03g55290</v>
      </c>
      <c r="L381" s="6"/>
      <c r="M381" s="1" t="s">
        <v>973</v>
      </c>
      <c r="N381" s="1" t="s">
        <v>973</v>
      </c>
      <c r="O381" s="1" t="s">
        <v>973</v>
      </c>
      <c r="P381" s="1" t="s">
        <v>973</v>
      </c>
      <c r="Q381" s="1" t="s">
        <v>973</v>
      </c>
      <c r="R381" s="1">
        <v>1</v>
      </c>
      <c r="S381" s="1"/>
      <c r="T381" s="6"/>
      <c r="U381" s="11">
        <v>6.7301413112966735</v>
      </c>
      <c r="V381" s="11">
        <v>3.8372974156630684</v>
      </c>
      <c r="W381" s="11">
        <v>8.4641077362242072</v>
      </c>
      <c r="X381" s="11">
        <v>7.2941409960038639</v>
      </c>
      <c r="Y381" s="11">
        <v>8.2189964841522336</v>
      </c>
      <c r="Z381" s="11">
        <v>7.180290773312179</v>
      </c>
      <c r="AA381" s="11">
        <v>8.6493318736025024</v>
      </c>
      <c r="AB381" s="11">
        <v>7.2251749749354897</v>
      </c>
      <c r="AC381" s="11">
        <v>7.796651826413437</v>
      </c>
      <c r="AD381" s="11">
        <v>7.8491425508719841</v>
      </c>
      <c r="AE381" s="11">
        <v>9.2859341916349596</v>
      </c>
      <c r="AF381" s="11">
        <v>8.6895445981885011</v>
      </c>
      <c r="AG381" s="11">
        <v>9.080276226714135</v>
      </c>
      <c r="AH381" s="11">
        <v>8.1381820183083491</v>
      </c>
      <c r="AI381" s="11">
        <v>8.3181328769492726</v>
      </c>
      <c r="AJ381" s="11">
        <v>8.1117421877284066</v>
      </c>
      <c r="AK381" s="6"/>
      <c r="AL381" t="s">
        <v>1075</v>
      </c>
      <c r="AM381">
        <v>0</v>
      </c>
      <c r="AN381" s="6"/>
      <c r="AO381" s="20">
        <v>-1.1236999999999999</v>
      </c>
      <c r="AP381" s="20">
        <v>-4.7404999999999999</v>
      </c>
      <c r="AQ381" s="20">
        <v>-0.81599999999999995</v>
      </c>
      <c r="AR381" s="20">
        <v>-1.3896999999999999</v>
      </c>
      <c r="AS381" s="20">
        <v>-0.85609999999999997</v>
      </c>
      <c r="AT381" s="20">
        <v>-0.94920000000000004</v>
      </c>
      <c r="AU381" s="20">
        <v>0.3296</v>
      </c>
      <c r="AV381" s="20">
        <v>-0.88319999999999999</v>
      </c>
      <c r="AW381" s="6"/>
      <c r="AX381" s="18">
        <v>1.107E-2</v>
      </c>
      <c r="AY381" s="18">
        <v>1.8859999999999998E-12</v>
      </c>
      <c r="AZ381" s="18">
        <v>5.4440000000000002E-2</v>
      </c>
      <c r="BA381" s="18">
        <v>1.155E-3</v>
      </c>
      <c r="BB381" s="18">
        <v>4.3860000000000003E-2</v>
      </c>
      <c r="BC381" s="18">
        <v>2.6700000000000002E-2</v>
      </c>
      <c r="BD381" s="18">
        <v>0.43780000000000002</v>
      </c>
      <c r="BE381" s="18">
        <v>3.9419999999999997E-2</v>
      </c>
      <c r="BF381" s="13"/>
      <c r="BG381" t="s">
        <v>1249</v>
      </c>
      <c r="BH381" t="s">
        <v>1177</v>
      </c>
      <c r="BI381" t="s">
        <v>1311</v>
      </c>
      <c r="BJ381" t="s">
        <v>1312</v>
      </c>
      <c r="BK381" t="s">
        <v>1115</v>
      </c>
      <c r="BL381" t="s">
        <v>1116</v>
      </c>
      <c r="BM381" t="s">
        <v>1117</v>
      </c>
      <c r="BN381" s="13"/>
      <c r="BO381" t="s">
        <v>973</v>
      </c>
      <c r="BP381" t="s">
        <v>973</v>
      </c>
      <c r="BQ381" t="s">
        <v>973</v>
      </c>
      <c r="BR381" t="s">
        <v>973</v>
      </c>
    </row>
    <row r="382" spans="1:70" x14ac:dyDescent="0.25">
      <c r="A382" t="s">
        <v>747</v>
      </c>
      <c r="B382" t="s">
        <v>649</v>
      </c>
      <c r="C382" t="s">
        <v>647</v>
      </c>
      <c r="D382" s="6"/>
      <c r="E382" s="9" t="str">
        <f>HYPERLINK("http://plants.ensembl.org/Triticum_aestivum/Gene/Summary?g=TRIAE_CS42_5DL_TGACv1_433682_AA1419290","TRIAE_CS42_5DL_TGACv1_433682_AA1419290")</f>
        <v>TRIAE_CS42_5DL_TGACv1_433682_AA1419290</v>
      </c>
      <c r="F382" s="9" t="str">
        <f>HYPERLINK("http://mar2016-plants.ensembl.org/Triticum_aestivum/Gene/Summary?db=core;g=Traes_5DL_9EC9EBA1F","Traes_5DL_9EC9EBA1F")</f>
        <v>Traes_5DL_9EC9EBA1F</v>
      </c>
      <c r="H382" s="8" t="str">
        <f>HYPERLINK("http://plants.ensembl.org/Brachypodium_distachyon/Gene/Summary?g=Bradi1g07900","Bradi1g07900")</f>
        <v>Bradi1g07900</v>
      </c>
      <c r="I382" s="1" t="s">
        <v>1051</v>
      </c>
      <c r="J382" s="9" t="str">
        <f>HYPERLINK("http://plants.ensembl.org/Oryza_sativa/Gene/Summary?db=otherfeatures;g=LOC_Os03g55290","LOC_Os03g55290")</f>
        <v>LOC_Os03g55290</v>
      </c>
      <c r="L382" s="6"/>
      <c r="M382" s="1" t="s">
        <v>973</v>
      </c>
      <c r="N382" s="1" t="s">
        <v>973</v>
      </c>
      <c r="O382" s="1" t="s">
        <v>973</v>
      </c>
      <c r="P382" s="1" t="s">
        <v>973</v>
      </c>
      <c r="Q382" s="1" t="s">
        <v>973</v>
      </c>
      <c r="R382" s="1">
        <v>1</v>
      </c>
      <c r="S382" s="1"/>
      <c r="T382" s="6"/>
      <c r="U382" s="11">
        <v>6.1313164702184277</v>
      </c>
      <c r="V382" s="11">
        <v>7.1910444049257123</v>
      </c>
      <c r="W382" s="11">
        <v>4.9683688166228546</v>
      </c>
      <c r="X382" s="11">
        <v>8.0301874454606974</v>
      </c>
      <c r="Y382" s="11">
        <v>5.8691311196442948</v>
      </c>
      <c r="Z382" s="11">
        <v>8.2759196211221191</v>
      </c>
      <c r="AA382" s="11">
        <v>5.8007998350900696</v>
      </c>
      <c r="AB382" s="11">
        <v>7.8234377276183817</v>
      </c>
      <c r="AC382" s="11">
        <v>5.0276509689299207</v>
      </c>
      <c r="AD382" s="11">
        <v>9.1909334925997825</v>
      </c>
      <c r="AE382" s="11">
        <v>5.6377850761442794</v>
      </c>
      <c r="AF382" s="11">
        <v>8.3540417247202736</v>
      </c>
      <c r="AG382" s="11">
        <v>5.1881318580956242</v>
      </c>
      <c r="AH382" s="11">
        <v>9.0273233654807594</v>
      </c>
      <c r="AI382" s="11">
        <v>4.6513789520376312</v>
      </c>
      <c r="AJ382" s="11">
        <v>7.8256745553410996</v>
      </c>
      <c r="AK382" s="6"/>
      <c r="AL382" t="s">
        <v>1081</v>
      </c>
      <c r="AM382">
        <v>0</v>
      </c>
      <c r="AN382" s="6"/>
      <c r="AO382" s="20">
        <v>1.0567</v>
      </c>
      <c r="AP382" s="20">
        <v>-2.0057</v>
      </c>
      <c r="AQ382" s="20">
        <v>-0.66749999999999998</v>
      </c>
      <c r="AR382" s="20">
        <v>-0.31940000000000002</v>
      </c>
      <c r="AS382" s="20">
        <v>0.68020000000000003</v>
      </c>
      <c r="AT382" s="20">
        <v>-0.7369</v>
      </c>
      <c r="AU382" s="20">
        <v>1.1613</v>
      </c>
      <c r="AV382" s="20">
        <v>-2E-3</v>
      </c>
      <c r="AW382" s="6"/>
      <c r="AX382" s="18">
        <v>0.1178</v>
      </c>
      <c r="AY382" s="18">
        <v>2.5539999999999998E-3</v>
      </c>
      <c r="AZ382" s="18">
        <v>0.31490000000000001</v>
      </c>
      <c r="BA382" s="18">
        <v>0.622</v>
      </c>
      <c r="BB382" s="18">
        <v>0.3024</v>
      </c>
      <c r="BC382" s="18">
        <v>0.25469999999999998</v>
      </c>
      <c r="BD382" s="18">
        <v>8.0979999999999996E-2</v>
      </c>
      <c r="BE382" s="18">
        <v>0.99750000000000005</v>
      </c>
      <c r="BF382" s="13"/>
      <c r="BG382" t="s">
        <v>1128</v>
      </c>
      <c r="BH382" t="s">
        <v>1112</v>
      </c>
      <c r="BI382" t="s">
        <v>1113</v>
      </c>
      <c r="BJ382" t="s">
        <v>1365</v>
      </c>
      <c r="BK382" t="s">
        <v>1139</v>
      </c>
      <c r="BL382" t="s">
        <v>1116</v>
      </c>
      <c r="BM382" t="s">
        <v>1117</v>
      </c>
      <c r="BN382" s="13"/>
      <c r="BO382" t="s">
        <v>973</v>
      </c>
      <c r="BP382" t="s">
        <v>973</v>
      </c>
      <c r="BQ382" t="s">
        <v>973</v>
      </c>
      <c r="BR382" t="s">
        <v>973</v>
      </c>
    </row>
    <row r="383" spans="1:70" x14ac:dyDescent="0.25">
      <c r="A383" t="s">
        <v>962</v>
      </c>
      <c r="B383" t="s">
        <v>963</v>
      </c>
      <c r="C383" t="s">
        <v>964</v>
      </c>
      <c r="D383" s="6"/>
      <c r="E383" s="9" t="str">
        <f>HYPERLINK("http://plants.ensembl.org/Triticum_aestivum/Gene/Summary?g=TRIAE_CS42_7DL_TGACv1_602652_AA1963930","TRIAE_CS42_7DL_TGACv1_602652_AA1963930")</f>
        <v>TRIAE_CS42_7DL_TGACv1_602652_AA1963930</v>
      </c>
      <c r="F383" s="9" t="str">
        <f>HYPERLINK("http://mar2016-plants.ensembl.org/Triticum_aestivum/Gene/Summary?db=core;g=Traes_7DL_F51807989","Traes_7DL_F51807989")</f>
        <v>Traes_7DL_F51807989</v>
      </c>
      <c r="H383" s="8" t="str">
        <f>HYPERLINK("http://plants.ensembl.org/Brachypodium_distachyon/Gene/Summary?g=Bradi1g29515","Bradi1g29515")</f>
        <v>Bradi1g29515</v>
      </c>
      <c r="I383" s="1" t="s">
        <v>1051</v>
      </c>
      <c r="J383" s="9" t="str">
        <f>HYPERLINK("http://plants.ensembl.org/Oryza_sativa/Gene/Summary?db=otherfeatures;g=LOC_Os06g51320","LOC_Os06g51320")</f>
        <v>LOC_Os06g51320</v>
      </c>
      <c r="L383" s="6"/>
      <c r="M383" s="1" t="s">
        <v>973</v>
      </c>
      <c r="N383" s="1" t="s">
        <v>973</v>
      </c>
      <c r="O383" s="1" t="s">
        <v>973</v>
      </c>
      <c r="P383" s="1" t="s">
        <v>973</v>
      </c>
      <c r="Q383" s="1" t="s">
        <v>973</v>
      </c>
      <c r="R383" s="1">
        <v>1</v>
      </c>
      <c r="S383" s="1"/>
      <c r="T383" s="6"/>
      <c r="U383" s="11">
        <v>6.3877054572569438</v>
      </c>
      <c r="V383" s="11">
        <v>4.7906347807208958</v>
      </c>
      <c r="W383" s="11">
        <v>7.6839174728514328</v>
      </c>
      <c r="X383" s="11">
        <v>6.502510418143169</v>
      </c>
      <c r="Y383" s="11">
        <v>7.7127562543797445</v>
      </c>
      <c r="Z383" s="11">
        <v>6.4746209922994886</v>
      </c>
      <c r="AA383" s="11">
        <v>8.1431180364736466</v>
      </c>
      <c r="AB383" s="11">
        <v>5.7197593446105781</v>
      </c>
      <c r="AC383" s="11">
        <v>7.1058872127340083</v>
      </c>
      <c r="AD383" s="11">
        <v>5.7412710182516609</v>
      </c>
      <c r="AE383" s="11">
        <v>8.081602204222655</v>
      </c>
      <c r="AF383" s="11">
        <v>7.2163746700769744</v>
      </c>
      <c r="AG383" s="11">
        <v>7.8953923022093715</v>
      </c>
      <c r="AH383" s="11">
        <v>6.0612887377278399</v>
      </c>
      <c r="AI383" s="11">
        <v>7.6331160828969171</v>
      </c>
      <c r="AJ383" s="11">
        <v>5.8864070737848593</v>
      </c>
      <c r="AK383" s="6"/>
      <c r="AL383" t="s">
        <v>1105</v>
      </c>
      <c r="AM383">
        <v>0</v>
      </c>
      <c r="AN383" s="6"/>
      <c r="AO383" s="20">
        <v>-0.76919999999999999</v>
      </c>
      <c r="AP383" s="20">
        <v>-1.0558000000000001</v>
      </c>
      <c r="AQ383" s="20">
        <v>-0.39400000000000002</v>
      </c>
      <c r="AR383" s="20">
        <v>-0.7117</v>
      </c>
      <c r="AS383" s="20">
        <v>-0.18149999999999999</v>
      </c>
      <c r="AT383" s="20">
        <v>0.41620000000000001</v>
      </c>
      <c r="AU383" s="20">
        <v>0.50639999999999996</v>
      </c>
      <c r="AV383" s="20">
        <v>-0.16819999999999999</v>
      </c>
      <c r="AW383" s="6"/>
      <c r="AX383" s="18">
        <v>0.14649999999999999</v>
      </c>
      <c r="AY383" s="18">
        <v>8.6379999999999998E-2</v>
      </c>
      <c r="AZ383" s="18">
        <v>0.441</v>
      </c>
      <c r="BA383" s="18">
        <v>0.16869999999999999</v>
      </c>
      <c r="BB383" s="18">
        <v>0.72260000000000002</v>
      </c>
      <c r="BC383" s="18">
        <v>0.42470000000000002</v>
      </c>
      <c r="BD383" s="18">
        <v>0.32179999999999997</v>
      </c>
      <c r="BE383" s="18">
        <v>0.74950000000000006</v>
      </c>
      <c r="BF383" s="13"/>
      <c r="BG383" t="s">
        <v>1111</v>
      </c>
      <c r="BH383" t="s">
        <v>1324</v>
      </c>
      <c r="BI383" t="s">
        <v>1113</v>
      </c>
      <c r="BJ383" t="s">
        <v>1217</v>
      </c>
      <c r="BK383" t="s">
        <v>1288</v>
      </c>
      <c r="BL383" t="s">
        <v>1116</v>
      </c>
      <c r="BM383" t="s">
        <v>1117</v>
      </c>
      <c r="BN383" s="13"/>
      <c r="BO383" t="s">
        <v>973</v>
      </c>
      <c r="BP383" t="s">
        <v>973</v>
      </c>
      <c r="BQ383" t="s">
        <v>973</v>
      </c>
      <c r="BR383" t="s">
        <v>973</v>
      </c>
    </row>
    <row r="384" spans="1:70" x14ac:dyDescent="0.25">
      <c r="A384" t="s">
        <v>192</v>
      </c>
      <c r="B384" t="s">
        <v>193</v>
      </c>
      <c r="C384" t="s">
        <v>126</v>
      </c>
      <c r="D384" s="6"/>
      <c r="E384" s="9" t="str">
        <f>HYPERLINK("http://plants.ensembl.org/Triticum_aestivum/Gene/Summary?g=TRIAE_CS42_2AL_TGACv1_092977_AA0268390","TRIAE_CS42_2AL_TGACv1_092977_AA0268390")</f>
        <v>TRIAE_CS42_2AL_TGACv1_092977_AA0268390</v>
      </c>
      <c r="F384" s="9" t="str">
        <f>HYPERLINK("http://mar2016-plants.ensembl.org/Triticum_aestivum/Gene/Summary?db=core;g=Traes_2AL_033E515A5","Traes_2AL_033E515A5")</f>
        <v>Traes_2AL_033E515A5</v>
      </c>
      <c r="G384" t="s">
        <v>988</v>
      </c>
      <c r="H384" s="8" t="str">
        <f>HYPERLINK("http://plants.ensembl.org/Brachypodium_distachyon/Gene/Summary?g=Bradi5g27490","Bradi5g27490")</f>
        <v>Bradi5g27490</v>
      </c>
      <c r="I384" s="8" t="str">
        <f>HYPERLINK("http://plants.ensembl.org/Arabidopsis_thaliana/Gene/Summary?g=AT1G08980","AT1G08980")</f>
        <v>AT1G08980</v>
      </c>
      <c r="J384" s="9" t="str">
        <f>HYPERLINK("http://plants.ensembl.org/Oryza_sativa/Gene/Summary?db=otherfeatures;g=LOC_Os04g02780","LOC_Os04g02780")</f>
        <v>LOC_Os04g02780</v>
      </c>
      <c r="K384" s="9" t="str">
        <f>HYPERLINK("http://plants.ensembl.org/Zea_mays/Gene/Summary?db=otherfeatures;g=GRMZM2G169087","GRMZM2G169087")</f>
        <v>GRMZM2G169087</v>
      </c>
      <c r="L384" s="6"/>
      <c r="M384" t="s">
        <v>973</v>
      </c>
      <c r="N384" t="s">
        <v>973</v>
      </c>
      <c r="O384" t="s">
        <v>973</v>
      </c>
      <c r="P384">
        <v>1</v>
      </c>
      <c r="S384" t="s">
        <v>973</v>
      </c>
      <c r="T384" s="6"/>
      <c r="U384" s="11">
        <v>5.4810211753453668</v>
      </c>
      <c r="V384" s="11">
        <v>5.9070925587771512</v>
      </c>
      <c r="W384" s="11">
        <v>2.9819439602130267</v>
      </c>
      <c r="X384" s="11">
        <v>2.7475879092286712</v>
      </c>
      <c r="Y384" s="11">
        <v>2.568696937471143</v>
      </c>
      <c r="Z384" s="11">
        <v>1.7747413845146074</v>
      </c>
      <c r="AA384" s="11">
        <v>4.7766532308915961</v>
      </c>
      <c r="AB384" s="11">
        <v>4.3376421189065528</v>
      </c>
      <c r="AC384" s="11">
        <v>6.480804739027179</v>
      </c>
      <c r="AD384" s="11">
        <v>6.7266891016657953</v>
      </c>
      <c r="AE384" s="11">
        <v>3.0442542148741616</v>
      </c>
      <c r="AF384" s="11">
        <v>2.1003497650186764</v>
      </c>
      <c r="AG384" s="11">
        <v>2.9064160311957559</v>
      </c>
      <c r="AH384" s="11">
        <v>4.1065074561401138</v>
      </c>
      <c r="AI384" s="11">
        <v>4.9016521285711132</v>
      </c>
      <c r="AJ384" s="11">
        <v>4.3570592929168477</v>
      </c>
      <c r="AK384" s="6"/>
      <c r="AL384" t="s">
        <v>1086</v>
      </c>
      <c r="AM384">
        <v>0</v>
      </c>
      <c r="AN384" s="6"/>
      <c r="AO384" s="20">
        <v>-0.94699999999999995</v>
      </c>
      <c r="AP384" s="20">
        <v>-0.70379999999999998</v>
      </c>
      <c r="AQ384" s="20">
        <v>-0.1119</v>
      </c>
      <c r="AR384" s="20">
        <v>0.69</v>
      </c>
      <c r="AS384" s="20">
        <v>-0.4199</v>
      </c>
      <c r="AT384" s="20">
        <v>-2.5423</v>
      </c>
      <c r="AU384" s="20">
        <v>-0.13420000000000001</v>
      </c>
      <c r="AV384" s="20">
        <v>-2.2599999999999999E-2</v>
      </c>
      <c r="AW384" s="6"/>
      <c r="AX384" s="18">
        <v>4.487E-2</v>
      </c>
      <c r="AY384" s="18">
        <v>0.15579999999999999</v>
      </c>
      <c r="AZ384" s="18">
        <v>0.84399999999999997</v>
      </c>
      <c r="BA384" s="18">
        <v>0.2949</v>
      </c>
      <c r="BB384" s="18">
        <v>0.48110000000000003</v>
      </c>
      <c r="BC384" s="18">
        <v>4.3600000000000003E-5</v>
      </c>
      <c r="BD384" s="18">
        <v>0.77380000000000004</v>
      </c>
      <c r="BE384" s="18">
        <v>0.96330000000000005</v>
      </c>
      <c r="BF384" s="13"/>
      <c r="BG384" t="s">
        <v>1111</v>
      </c>
      <c r="BH384" t="s">
        <v>1112</v>
      </c>
      <c r="BI384" t="s">
        <v>1162</v>
      </c>
      <c r="BJ384" t="s">
        <v>1114</v>
      </c>
      <c r="BK384" t="s">
        <v>1115</v>
      </c>
      <c r="BL384" t="s">
        <v>1116</v>
      </c>
      <c r="BM384" t="s">
        <v>1117</v>
      </c>
      <c r="BN384" s="13"/>
      <c r="BO384" t="s">
        <v>973</v>
      </c>
      <c r="BP384" t="s">
        <v>973</v>
      </c>
      <c r="BQ384" t="s">
        <v>973</v>
      </c>
      <c r="BR384" t="s">
        <v>973</v>
      </c>
    </row>
    <row r="385" spans="1:70" x14ac:dyDescent="0.25">
      <c r="A385" t="s">
        <v>897</v>
      </c>
      <c r="B385" t="s">
        <v>898</v>
      </c>
      <c r="C385" t="s">
        <v>899</v>
      </c>
      <c r="D385" s="6"/>
      <c r="E385" s="9" t="str">
        <f>HYPERLINK("http://plants.ensembl.org/Triticum_aestivum/Gene/Summary?g=TRIAE_CS42_7BS_TGACv1_592093_AA1930370","TRIAE_CS42_7BS_TGACv1_592093_AA1930370")</f>
        <v>TRIAE_CS42_7BS_TGACv1_592093_AA1930370</v>
      </c>
      <c r="F385" s="9" t="str">
        <f>HYPERLINK("http://mar2016-plants.ensembl.org/Triticum_aestivum/Gene/Summary?db=core;g=Traes_7BS_E11EC3E6E","Traes_7BS_E11EC3E6E")</f>
        <v>Traes_7BS_E11EC3E6E</v>
      </c>
      <c r="G385" t="s">
        <v>1042</v>
      </c>
      <c r="H385" s="8" t="str">
        <f>HYPERLINK("http://plants.ensembl.org/Brachypodium_distachyon/Gene/Summary?g=Bradi1g46520","Bradi1g46520")</f>
        <v>Bradi1g46520</v>
      </c>
      <c r="I385" s="8" t="str">
        <f>HYPERLINK("http://plants.ensembl.org/Arabidopsis_thaliana/Gene/Summary?g=AT1G48270","AT1G48270")</f>
        <v>AT1G48270</v>
      </c>
      <c r="J385" s="9" t="str">
        <f>HYPERLINK("http://plants.ensembl.org/Oryza_sativa/Gene/Summary?db=otherfeatures;g=LOC_Os06g09930","LOC_Os06g09930")</f>
        <v>LOC_Os06g09930</v>
      </c>
      <c r="K385" s="9" t="str">
        <f>HYPERLINK("http://plants.ensembl.org/Zea_mays/Gene/Summary?db=otherfeatures;g=GRMZM2G120371","GRMZM2G120371")</f>
        <v>GRMZM2G120371</v>
      </c>
      <c r="L385" s="6"/>
      <c r="M385" t="s">
        <v>973</v>
      </c>
      <c r="N385" t="s">
        <v>973</v>
      </c>
      <c r="O385" t="s">
        <v>973</v>
      </c>
      <c r="P385" t="s">
        <v>973</v>
      </c>
      <c r="S385">
        <v>1</v>
      </c>
      <c r="T385" s="6"/>
      <c r="U385" s="11">
        <v>6.3622015940656746</v>
      </c>
      <c r="V385" s="11">
        <v>6.7667590147374792</v>
      </c>
      <c r="W385" s="11">
        <v>6.2607972462600632</v>
      </c>
      <c r="X385" s="11">
        <v>6.3209310886410428</v>
      </c>
      <c r="Y385" s="11">
        <v>6.9144644657428742</v>
      </c>
      <c r="Z385" s="11">
        <v>6.5934633335518464</v>
      </c>
      <c r="AA385" s="11">
        <v>6.5786157305628734</v>
      </c>
      <c r="AB385" s="11">
        <v>5.9551918917539597</v>
      </c>
      <c r="AC385" s="11">
        <v>6.2055423949205544</v>
      </c>
      <c r="AD385" s="11">
        <v>5.7723678044547633</v>
      </c>
      <c r="AE385" s="11">
        <v>5.8907960556142456</v>
      </c>
      <c r="AF385" s="11">
        <v>5.9061105279352368</v>
      </c>
      <c r="AG385" s="11">
        <v>5.9451605370024625</v>
      </c>
      <c r="AH385" s="11">
        <v>6.1725301855398884</v>
      </c>
      <c r="AI385" s="11">
        <v>6.1908768812416568</v>
      </c>
      <c r="AJ385" s="11">
        <v>6.2372469340729557</v>
      </c>
      <c r="AK385" s="6"/>
      <c r="AL385" t="s">
        <v>1077</v>
      </c>
      <c r="AM385">
        <v>0</v>
      </c>
      <c r="AN385" s="6"/>
      <c r="AO385" s="20">
        <v>0.17269999999999999</v>
      </c>
      <c r="AP385" s="20">
        <v>1.1447000000000001</v>
      </c>
      <c r="AQ385" s="20">
        <v>0.38790000000000002</v>
      </c>
      <c r="AR385" s="20">
        <v>0.42320000000000002</v>
      </c>
      <c r="AS385" s="20">
        <v>0.98399999999999999</v>
      </c>
      <c r="AT385" s="20">
        <v>0.41959999999999997</v>
      </c>
      <c r="AU385" s="20">
        <v>0.39839999999999998</v>
      </c>
      <c r="AV385" s="20">
        <v>-0.28470000000000001</v>
      </c>
      <c r="AW385" s="6"/>
      <c r="AX385" s="18">
        <v>0.50829999999999997</v>
      </c>
      <c r="AY385" s="18">
        <v>1.292E-4</v>
      </c>
      <c r="AZ385" s="18">
        <v>0.11</v>
      </c>
      <c r="BA385" s="18">
        <v>8.5129999999999997E-2</v>
      </c>
      <c r="BB385" s="18">
        <v>2.298E-5</v>
      </c>
      <c r="BC385" s="18">
        <v>7.8829999999999997E-2</v>
      </c>
      <c r="BD385" s="18">
        <v>8.8459999999999997E-2</v>
      </c>
      <c r="BE385" s="18">
        <v>0.2467</v>
      </c>
      <c r="BF385" s="13"/>
      <c r="BG385" t="s">
        <v>1125</v>
      </c>
      <c r="BH385" t="s">
        <v>1112</v>
      </c>
      <c r="BI385" t="s">
        <v>1113</v>
      </c>
      <c r="BJ385" t="s">
        <v>1114</v>
      </c>
      <c r="BK385" t="s">
        <v>1115</v>
      </c>
      <c r="BL385" t="s">
        <v>1116</v>
      </c>
      <c r="BM385" t="s">
        <v>1117</v>
      </c>
      <c r="BN385" s="13"/>
      <c r="BO385" t="s">
        <v>973</v>
      </c>
      <c r="BP385" t="s">
        <v>973</v>
      </c>
      <c r="BQ385" t="s">
        <v>973</v>
      </c>
      <c r="BR385" t="s">
        <v>973</v>
      </c>
    </row>
    <row r="386" spans="1:70" x14ac:dyDescent="0.25">
      <c r="A386" t="s">
        <v>220</v>
      </c>
      <c r="B386" t="s">
        <v>221</v>
      </c>
      <c r="C386" t="s">
        <v>222</v>
      </c>
      <c r="D386" s="6"/>
      <c r="E386" s="9" t="str">
        <f>HYPERLINK("http://plants.ensembl.org/Triticum_aestivum/Gene/Summary?g=TRIAE_CS42_2BL_TGACv1_131267_AA0425250","TRIAE_CS42_2BL_TGACv1_131267_AA0425250")</f>
        <v>TRIAE_CS42_2BL_TGACv1_131267_AA0425250</v>
      </c>
      <c r="F386" s="9" t="str">
        <f>HYPERLINK("http://mar2016-plants.ensembl.org/Triticum_aestivum/Gene/Summary?db=core;g=Traes_2BL_928B24961","Traes_2BL_928B24961")</f>
        <v>Traes_2BL_928B24961</v>
      </c>
      <c r="H386" s="1" t="s">
        <v>1051</v>
      </c>
      <c r="I386" s="1" t="s">
        <v>1051</v>
      </c>
      <c r="J386" s="1" t="s">
        <v>1051</v>
      </c>
      <c r="L386" s="6"/>
      <c r="M386" s="1" t="s">
        <v>973</v>
      </c>
      <c r="N386" s="1" t="s">
        <v>973</v>
      </c>
      <c r="O386" s="1" t="s">
        <v>973</v>
      </c>
      <c r="P386" s="1" t="s">
        <v>973</v>
      </c>
      <c r="Q386" s="1" t="s">
        <v>973</v>
      </c>
      <c r="R386" s="1" t="s">
        <v>973</v>
      </c>
      <c r="S386" s="1">
        <v>1</v>
      </c>
      <c r="T386" s="6"/>
      <c r="U386" s="11">
        <v>6.4531564761633282</v>
      </c>
      <c r="V386" s="11">
        <v>6.9075216366587417</v>
      </c>
      <c r="W386" s="11">
        <v>3.8740756019685572</v>
      </c>
      <c r="X386" s="11">
        <v>3.5997184866714704</v>
      </c>
      <c r="Y386" s="11">
        <v>3.3242201582944642</v>
      </c>
      <c r="Z386" s="11">
        <v>3.2166980100369114</v>
      </c>
      <c r="AA386" s="11">
        <v>2.8177733172763051</v>
      </c>
      <c r="AB386" s="11">
        <v>2.7961754873180347</v>
      </c>
      <c r="AC386" s="11">
        <v>1.0328531529534626</v>
      </c>
      <c r="AD386" s="11">
        <v>1.9182971764481784</v>
      </c>
      <c r="AE386" s="11">
        <v>0.29721098503322341</v>
      </c>
      <c r="AF386" s="11">
        <v>0.25801633106716926</v>
      </c>
      <c r="AG386" s="11">
        <v>0</v>
      </c>
      <c r="AH386" s="11">
        <v>0.40355859560642487</v>
      </c>
      <c r="AI386" s="11">
        <v>1.1590478576421552</v>
      </c>
      <c r="AJ386" s="11">
        <v>0</v>
      </c>
      <c r="AK386" s="6"/>
      <c r="AL386" t="s">
        <v>1077</v>
      </c>
      <c r="AM386">
        <v>57</v>
      </c>
      <c r="AN386" s="6"/>
      <c r="AO386" s="20">
        <v>6.3109999999999999</v>
      </c>
      <c r="AP386" s="20">
        <v>7.0124000000000004</v>
      </c>
      <c r="AQ386" s="20">
        <v>5.0727000000000002</v>
      </c>
      <c r="AR386" s="20">
        <v>4.7300000000000004</v>
      </c>
      <c r="AS386" s="20">
        <v>5.8114999999999997</v>
      </c>
      <c r="AT386" s="20">
        <v>4.1962000000000002</v>
      </c>
      <c r="AU386" s="20">
        <v>2.1562000000000001</v>
      </c>
      <c r="AV386" s="20">
        <v>4.7701000000000002</v>
      </c>
      <c r="AW386" s="6"/>
      <c r="AX386" s="18">
        <v>1.211E-10</v>
      </c>
      <c r="AY386" s="18">
        <v>1.372E-10</v>
      </c>
      <c r="AZ386" s="18">
        <v>2.3439999999999999E-5</v>
      </c>
      <c r="BA386" s="18">
        <v>6.3109999999999997E-5</v>
      </c>
      <c r="BB386" s="18">
        <v>2.086E-6</v>
      </c>
      <c r="BC386" s="18">
        <v>5.239E-4</v>
      </c>
      <c r="BD386" s="18">
        <v>1.9189999999999999E-2</v>
      </c>
      <c r="BE386" s="18">
        <v>1.183E-4</v>
      </c>
      <c r="BF386" s="13"/>
      <c r="BG386" t="s">
        <v>1125</v>
      </c>
      <c r="BH386" t="s">
        <v>1126</v>
      </c>
      <c r="BI386" t="s">
        <v>1113</v>
      </c>
      <c r="BJ386" t="s">
        <v>1114</v>
      </c>
      <c r="BK386" t="s">
        <v>1115</v>
      </c>
      <c r="BL386" t="s">
        <v>1116</v>
      </c>
      <c r="BM386" t="s">
        <v>1117</v>
      </c>
      <c r="BN386" s="13"/>
      <c r="BO386" t="s">
        <v>973</v>
      </c>
      <c r="BP386">
        <v>1</v>
      </c>
      <c r="BQ386" t="s">
        <v>973</v>
      </c>
      <c r="BR386" t="s">
        <v>973</v>
      </c>
    </row>
    <row r="387" spans="1:70" x14ac:dyDescent="0.25">
      <c r="A387" t="s">
        <v>267</v>
      </c>
      <c r="B387" t="s">
        <v>221</v>
      </c>
      <c r="C387" t="s">
        <v>222</v>
      </c>
      <c r="D387" s="6"/>
      <c r="E387" s="9" t="str">
        <f>HYPERLINK("http://plants.ensembl.org/Triticum_aestivum/Gene/Summary?g=TRIAE_CS42_2DL_TGACv1_160471_AA0550830","TRIAE_CS42_2DL_TGACv1_160471_AA0550830")</f>
        <v>TRIAE_CS42_2DL_TGACv1_160471_AA0550830</v>
      </c>
      <c r="F387" s="9" t="str">
        <f>HYPERLINK("http://mar2016-plants.ensembl.org/Triticum_aestivum/Gene/Summary?db=core;g=Traes_2DL_420FEEB83","Traes_2DL_420FEEB83")</f>
        <v>Traes_2DL_420FEEB83</v>
      </c>
      <c r="H387" s="1" t="s">
        <v>1051</v>
      </c>
      <c r="I387" s="1" t="s">
        <v>1051</v>
      </c>
      <c r="J387" s="1" t="s">
        <v>1051</v>
      </c>
      <c r="L387" s="6"/>
      <c r="M387" s="1" t="s">
        <v>973</v>
      </c>
      <c r="N387" s="1" t="s">
        <v>973</v>
      </c>
      <c r="O387" s="1" t="s">
        <v>973</v>
      </c>
      <c r="P387" s="1" t="s">
        <v>973</v>
      </c>
      <c r="Q387" s="1" t="s">
        <v>973</v>
      </c>
      <c r="R387" s="1" t="s">
        <v>973</v>
      </c>
      <c r="S387" s="1">
        <v>1</v>
      </c>
      <c r="T387" s="6"/>
      <c r="U387" s="11">
        <v>6.9732867627374713</v>
      </c>
      <c r="V387" s="11">
        <v>6.0731782739568141</v>
      </c>
      <c r="W387" s="11">
        <v>5.1664570326794683</v>
      </c>
      <c r="X387" s="11">
        <v>4.6578952931524773</v>
      </c>
      <c r="Y387" s="11">
        <v>4.3922807824394301</v>
      </c>
      <c r="Z387" s="11">
        <v>3.6143761209526044</v>
      </c>
      <c r="AA387" s="11">
        <v>5.0551030818117368</v>
      </c>
      <c r="AB387" s="11">
        <v>4.1833171181955802</v>
      </c>
      <c r="AC387" s="11">
        <v>0.81560275237354185</v>
      </c>
      <c r="AD387" s="11">
        <v>0</v>
      </c>
      <c r="AE387" s="11">
        <v>0.35245722601779272</v>
      </c>
      <c r="AF387" s="11">
        <v>0</v>
      </c>
      <c r="AG387" s="11">
        <v>0.2964280392343483</v>
      </c>
      <c r="AH387" s="11">
        <v>0</v>
      </c>
      <c r="AI387" s="11">
        <v>0</v>
      </c>
      <c r="AJ387" s="11">
        <v>0</v>
      </c>
      <c r="AK387" s="6"/>
      <c r="AL387" t="s">
        <v>1077</v>
      </c>
      <c r="AM387">
        <v>1191</v>
      </c>
      <c r="AN387" s="6"/>
      <c r="AO387" s="20">
        <v>6.9546999999999999</v>
      </c>
      <c r="AP387" s="20">
        <v>7.1079999999999997</v>
      </c>
      <c r="AQ387" s="20">
        <v>6.3951000000000002</v>
      </c>
      <c r="AR387" s="20">
        <v>6.6296999999999997</v>
      </c>
      <c r="AS387" s="20">
        <v>6.1257000000000001</v>
      </c>
      <c r="AT387" s="20">
        <v>5.4801000000000002</v>
      </c>
      <c r="AU387" s="20">
        <v>7.1688999999999998</v>
      </c>
      <c r="AV387" s="20">
        <v>6.2713000000000001</v>
      </c>
      <c r="AW387" s="6"/>
      <c r="AX387" s="18">
        <v>1.513E-13</v>
      </c>
      <c r="AY387" s="18">
        <v>1.564E-9</v>
      </c>
      <c r="AZ387" s="18">
        <v>2.7920000000000001E-8</v>
      </c>
      <c r="BA387" s="18">
        <v>1.5600000000000001E-8</v>
      </c>
      <c r="BB387" s="18">
        <v>5.1450000000000001E-8</v>
      </c>
      <c r="BC387" s="18">
        <v>3.4939999999999999E-6</v>
      </c>
      <c r="BD387" s="18">
        <v>8.4210000000000002E-10</v>
      </c>
      <c r="BE387" s="18">
        <v>1.013E-7</v>
      </c>
      <c r="BF387" s="13"/>
      <c r="BG387" t="s">
        <v>1146</v>
      </c>
      <c r="BH387" t="s">
        <v>1147</v>
      </c>
      <c r="BI387" t="s">
        <v>1113</v>
      </c>
      <c r="BJ387" t="s">
        <v>1114</v>
      </c>
      <c r="BK387" t="s">
        <v>1115</v>
      </c>
      <c r="BL387" t="s">
        <v>1116</v>
      </c>
      <c r="BM387" t="s">
        <v>1117</v>
      </c>
      <c r="BN387" s="13"/>
      <c r="BO387">
        <v>1</v>
      </c>
      <c r="BP387" t="s">
        <v>973</v>
      </c>
      <c r="BQ387" t="s">
        <v>973</v>
      </c>
      <c r="BR387" t="s">
        <v>973</v>
      </c>
    </row>
    <row r="388" spans="1:70" x14ac:dyDescent="0.25">
      <c r="A388" t="s">
        <v>662</v>
      </c>
      <c r="B388" t="s">
        <v>663</v>
      </c>
      <c r="C388" t="s">
        <v>222</v>
      </c>
      <c r="D388" s="6"/>
      <c r="E388" s="9" t="str">
        <f>HYPERLINK("http://plants.ensembl.org/Triticum_aestivum/Gene/Summary?g=TRIAE_CS42_5AL_TGACv1_377447_AA1246910","TRIAE_CS42_5AL_TGACv1_377447_AA1246910")</f>
        <v>TRIAE_CS42_5AL_TGACv1_377447_AA1246910</v>
      </c>
      <c r="H388" s="8" t="str">
        <f>HYPERLINK("http://plants.ensembl.org/Brachypodium_distachyon/Gene/Summary?g=Bradi4g07520","Bradi4g07520")</f>
        <v>Bradi4g07520</v>
      </c>
      <c r="I388" s="8" t="str">
        <f>HYPERLINK("http://plants.ensembl.org/Arabidopsis_thaliana/Gene/Summary?g=AT5G13200","AT5G13200")</f>
        <v>AT5G13200</v>
      </c>
      <c r="J388" s="9" t="str">
        <f>HYPERLINK("http://plants.ensembl.org/Oryza_sativa/Gene/Summary?db=otherfeatures;g=LOC_Os12g29400","LOC_Os12g29400")</f>
        <v>LOC_Os12g29400</v>
      </c>
      <c r="L388" s="6"/>
      <c r="M388" s="1" t="s">
        <v>973</v>
      </c>
      <c r="N388" s="1" t="s">
        <v>973</v>
      </c>
      <c r="O388" s="1" t="s">
        <v>973</v>
      </c>
      <c r="P388" s="1" t="s">
        <v>973</v>
      </c>
      <c r="Q388" s="1" t="s">
        <v>973</v>
      </c>
      <c r="R388" s="1" t="s">
        <v>973</v>
      </c>
      <c r="S388" s="1">
        <v>1</v>
      </c>
      <c r="T388" s="6"/>
      <c r="U388" s="11">
        <v>9.6849953591896938</v>
      </c>
      <c r="V388" s="11">
        <v>12.043199348334316</v>
      </c>
      <c r="W388" s="11">
        <v>8.0468184320534082</v>
      </c>
      <c r="X388" s="11">
        <v>9.4411539420349389</v>
      </c>
      <c r="Y388" s="11">
        <v>8.6457481252672714</v>
      </c>
      <c r="Z388" s="11">
        <v>8.9615799217738594</v>
      </c>
      <c r="AA388" s="11">
        <v>8.183718905681415</v>
      </c>
      <c r="AB388" s="11">
        <v>8.6251707453103243</v>
      </c>
      <c r="AC388" s="11">
        <v>4.4223922446116051</v>
      </c>
      <c r="AD388" s="11">
        <v>4.6069297561403406</v>
      </c>
      <c r="AE388" s="11">
        <v>4.7356972685468035</v>
      </c>
      <c r="AF388" s="11">
        <v>3.8889055683224725</v>
      </c>
      <c r="AG388" s="11">
        <v>4.0283923404996456</v>
      </c>
      <c r="AH388" s="11">
        <v>3.7181168176063957</v>
      </c>
      <c r="AI388" s="11">
        <v>5.5517836142771886</v>
      </c>
      <c r="AJ388" s="11">
        <v>3.6120378948063925</v>
      </c>
      <c r="AK388" s="6"/>
      <c r="AL388" t="s">
        <v>1077</v>
      </c>
      <c r="AM388" s="12">
        <v>3521</v>
      </c>
      <c r="AN388" s="6"/>
      <c r="AO388" s="20">
        <v>5.2267999999999999</v>
      </c>
      <c r="AP388" s="20">
        <v>7.4002999999999997</v>
      </c>
      <c r="AQ388" s="20">
        <v>3.2730000000000001</v>
      </c>
      <c r="AR388" s="20">
        <v>5.4683000000000002</v>
      </c>
      <c r="AS388" s="20">
        <v>4.5620000000000003</v>
      </c>
      <c r="AT388" s="20">
        <v>5.1928000000000001</v>
      </c>
      <c r="AU388" s="20">
        <v>2.5886999999999998</v>
      </c>
      <c r="AV388" s="20">
        <v>4.9859</v>
      </c>
      <c r="AW388" s="6"/>
      <c r="AX388" s="18">
        <v>6.1790000000000002E-13</v>
      </c>
      <c r="AY388" s="18">
        <v>9.5219999999999999E-23</v>
      </c>
      <c r="AZ388" s="18">
        <v>5.4399999999999996E-6</v>
      </c>
      <c r="BA388" s="18">
        <v>7.9390000000000003E-14</v>
      </c>
      <c r="BB388" s="18">
        <v>2.491E-10</v>
      </c>
      <c r="BC388" s="18">
        <v>1.7E-12</v>
      </c>
      <c r="BD388" s="18">
        <v>2.8570000000000001E-4</v>
      </c>
      <c r="BE388" s="18">
        <v>1.104E-11</v>
      </c>
      <c r="BF388" s="13"/>
      <c r="BG388" t="s">
        <v>1131</v>
      </c>
      <c r="BH388" t="s">
        <v>1126</v>
      </c>
      <c r="BI388" t="s">
        <v>1113</v>
      </c>
      <c r="BJ388" t="s">
        <v>1127</v>
      </c>
      <c r="BK388" t="s">
        <v>1115</v>
      </c>
      <c r="BL388" t="s">
        <v>1116</v>
      </c>
      <c r="BM388" t="s">
        <v>1117</v>
      </c>
      <c r="BN388" s="13"/>
      <c r="BO388" t="s">
        <v>973</v>
      </c>
      <c r="BP388" t="s">
        <v>973</v>
      </c>
      <c r="BQ388" t="s">
        <v>973</v>
      </c>
      <c r="BR388" t="s">
        <v>973</v>
      </c>
    </row>
    <row r="389" spans="1:70" x14ac:dyDescent="0.25">
      <c r="A389" t="s">
        <v>710</v>
      </c>
      <c r="B389" t="s">
        <v>663</v>
      </c>
      <c r="C389" t="s">
        <v>222</v>
      </c>
      <c r="D389" s="6"/>
      <c r="E389" s="9" t="str">
        <f>HYPERLINK("http://plants.ensembl.org/Triticum_aestivum/Gene/Summary?g=TRIAE_CS42_5BL_TGACv1_404605_AA1305870","TRIAE_CS42_5BL_TGACv1_404605_AA1305870")</f>
        <v>TRIAE_CS42_5BL_TGACv1_404605_AA1305870</v>
      </c>
      <c r="F389" s="9" t="str">
        <f>HYPERLINK("http://mar2016-plants.ensembl.org/Triticum_aestivum/Gene/Summary?db=core;g=Traes_5BL_0BFAE33B9","Traes_5BL_0BFAE33B9")</f>
        <v>Traes_5BL_0BFAE33B9</v>
      </c>
      <c r="G389" t="s">
        <v>1023</v>
      </c>
      <c r="H389" s="8" t="str">
        <f>HYPERLINK("http://plants.ensembl.org/Brachypodium_distachyon/Gene/Summary?g=Bradi4g07520","Bradi4g07520")</f>
        <v>Bradi4g07520</v>
      </c>
      <c r="I389" s="8" t="str">
        <f>HYPERLINK("http://plants.ensembl.org/Arabidopsis_thaliana/Gene/Summary?g=AT5G13200","AT5G13200")</f>
        <v>AT5G13200</v>
      </c>
      <c r="J389" s="9" t="str">
        <f>HYPERLINK("http://plants.ensembl.org/Oryza_sativa/Gene/Summary?db=otherfeatures;g=LOC_Os12g29400","LOC_Os12g29400")</f>
        <v>LOC_Os12g29400</v>
      </c>
      <c r="K389" s="9" t="str">
        <f>HYPERLINK("http://plants.ensembl.org/Zea_mays/Gene/Summary?db=otherfeatures;g=GRMZM2G106622","GRMZM2G106622")</f>
        <v>GRMZM2G106622</v>
      </c>
      <c r="L389" s="6"/>
      <c r="M389" t="s">
        <v>973</v>
      </c>
      <c r="N389" t="s">
        <v>973</v>
      </c>
      <c r="O389" t="s">
        <v>973</v>
      </c>
      <c r="P389" t="s">
        <v>973</v>
      </c>
      <c r="S389">
        <v>1</v>
      </c>
      <c r="T389" s="6"/>
      <c r="U389" s="11">
        <v>8.5703099857081479</v>
      </c>
      <c r="V389" s="11">
        <v>11.346083002611081</v>
      </c>
      <c r="W389" s="11">
        <v>6.8078550555134765</v>
      </c>
      <c r="X389" s="11">
        <v>8.9783620159494397</v>
      </c>
      <c r="Y389" s="11">
        <v>7.5435989883063517</v>
      </c>
      <c r="Z389" s="11">
        <v>8.2970042796910377</v>
      </c>
      <c r="AA389" s="11">
        <v>7.0505365237020765</v>
      </c>
      <c r="AB389" s="11">
        <v>7.9317752315506498</v>
      </c>
      <c r="AC389" s="11">
        <v>3.8079421854965911</v>
      </c>
      <c r="AD389" s="11">
        <v>3.5492954096801408</v>
      </c>
      <c r="AE389" s="11">
        <v>3.8820038835519233</v>
      </c>
      <c r="AF389" s="11">
        <v>3.5574795293530777</v>
      </c>
      <c r="AG389" s="11">
        <v>3.0591014221830299</v>
      </c>
      <c r="AH389" s="11">
        <v>2.0771974154306352</v>
      </c>
      <c r="AI389" s="11">
        <v>4.3691034958413129</v>
      </c>
      <c r="AJ389" s="11">
        <v>4.3937593969526674</v>
      </c>
      <c r="AK389" s="6"/>
      <c r="AL389" t="s">
        <v>1077</v>
      </c>
      <c r="AM389">
        <v>641</v>
      </c>
      <c r="AN389" s="6"/>
      <c r="AO389" s="20">
        <v>4.7645</v>
      </c>
      <c r="AP389" s="20">
        <v>7.8582999999999998</v>
      </c>
      <c r="AQ389" s="20">
        <v>2.9157000000000002</v>
      </c>
      <c r="AR389" s="20">
        <v>5.3211000000000004</v>
      </c>
      <c r="AS389" s="20">
        <v>4.4889999999999999</v>
      </c>
      <c r="AT389" s="20">
        <v>6.3270999999999997</v>
      </c>
      <c r="AU389" s="20">
        <v>2.6530999999999998</v>
      </c>
      <c r="AV389" s="20">
        <v>3.4918</v>
      </c>
      <c r="AW389" s="6"/>
      <c r="AX389" s="18">
        <v>1.589E-9</v>
      </c>
      <c r="AY389" s="18">
        <v>1.1540000000000001E-20</v>
      </c>
      <c r="AZ389" s="18">
        <v>1.986E-4</v>
      </c>
      <c r="BA389" s="18">
        <v>1.5770000000000001E-11</v>
      </c>
      <c r="BB389" s="18">
        <v>1.2100000000000001E-8</v>
      </c>
      <c r="BC389" s="18">
        <v>9.803E-14</v>
      </c>
      <c r="BD389" s="18">
        <v>6.2790000000000003E-4</v>
      </c>
      <c r="BE389" s="18">
        <v>6.6510000000000004E-6</v>
      </c>
      <c r="BF389" s="13"/>
      <c r="BG389" t="s">
        <v>1131</v>
      </c>
      <c r="BH389" t="s">
        <v>1126</v>
      </c>
      <c r="BI389" t="s">
        <v>1113</v>
      </c>
      <c r="BJ389" t="s">
        <v>1251</v>
      </c>
      <c r="BK389" t="s">
        <v>1115</v>
      </c>
      <c r="BL389" t="s">
        <v>1116</v>
      </c>
      <c r="BM389" t="s">
        <v>1117</v>
      </c>
      <c r="BN389" s="13"/>
      <c r="BO389" t="s">
        <v>973</v>
      </c>
      <c r="BP389" t="s">
        <v>973</v>
      </c>
      <c r="BQ389" t="s">
        <v>973</v>
      </c>
      <c r="BR389" t="s">
        <v>973</v>
      </c>
    </row>
    <row r="390" spans="1:70" x14ac:dyDescent="0.25">
      <c r="A390" t="s">
        <v>752</v>
      </c>
      <c r="B390" t="s">
        <v>663</v>
      </c>
      <c r="C390" t="s">
        <v>222</v>
      </c>
      <c r="D390" s="6"/>
      <c r="E390" s="9" t="str">
        <f>HYPERLINK("http://plants.ensembl.org/Triticum_aestivum/Gene/Summary?g=TRIAE_CS42_5DL_TGACv1_435998_AA1457130","TRIAE_CS42_5DL_TGACv1_435998_AA1457130")</f>
        <v>TRIAE_CS42_5DL_TGACv1_435998_AA1457130</v>
      </c>
      <c r="H390" s="8" t="str">
        <f>HYPERLINK("http://plants.ensembl.org/Brachypodium_distachyon/Gene/Summary?g=Bradi4g07520","Bradi4g07520")</f>
        <v>Bradi4g07520</v>
      </c>
      <c r="I390" s="8" t="str">
        <f>HYPERLINK("http://plants.ensembl.org/Arabidopsis_thaliana/Gene/Summary?g=AT5G13200","AT5G13200")</f>
        <v>AT5G13200</v>
      </c>
      <c r="J390" s="9" t="str">
        <f>HYPERLINK("http://plants.ensembl.org/Oryza_sativa/Gene/Summary?db=otherfeatures;g=LOC_Os12g29400","LOC_Os12g29400")</f>
        <v>LOC_Os12g29400</v>
      </c>
      <c r="L390" s="6"/>
      <c r="M390" s="1" t="s">
        <v>973</v>
      </c>
      <c r="N390" s="1" t="s">
        <v>973</v>
      </c>
      <c r="O390" s="1" t="s">
        <v>973</v>
      </c>
      <c r="P390" s="1" t="s">
        <v>973</v>
      </c>
      <c r="Q390" s="1" t="s">
        <v>973</v>
      </c>
      <c r="R390" s="1" t="s">
        <v>973</v>
      </c>
      <c r="S390" s="1">
        <v>1</v>
      </c>
      <c r="T390" s="6"/>
      <c r="U390" s="11">
        <v>8.2457326951996528</v>
      </c>
      <c r="V390" s="11">
        <v>10.873174876603487</v>
      </c>
      <c r="W390" s="11">
        <v>6.2451438451177061</v>
      </c>
      <c r="X390" s="11">
        <v>8.4325837956996033</v>
      </c>
      <c r="Y390" s="11">
        <v>6.8820723791492053</v>
      </c>
      <c r="Z390" s="11">
        <v>7.6792466689850389</v>
      </c>
      <c r="AA390" s="11">
        <v>6.7674861914978299</v>
      </c>
      <c r="AB390" s="11">
        <v>7.3258115277586686</v>
      </c>
      <c r="AC390" s="11">
        <v>3.56661222904525</v>
      </c>
      <c r="AD390" s="11">
        <v>3.9135373059766718</v>
      </c>
      <c r="AE390" s="11">
        <v>4.3408209719888466</v>
      </c>
      <c r="AF390" s="11">
        <v>3.8158452258596869</v>
      </c>
      <c r="AG390" s="11">
        <v>3.1939294063705428</v>
      </c>
      <c r="AH390" s="11">
        <v>2.3634608021317489</v>
      </c>
      <c r="AI390" s="11">
        <v>4.2834600557685256</v>
      </c>
      <c r="AJ390" s="11">
        <v>4.040930411182865</v>
      </c>
      <c r="AK390" s="6"/>
      <c r="AL390" t="s">
        <v>1077</v>
      </c>
      <c r="AM390">
        <v>959</v>
      </c>
      <c r="AN390" s="6"/>
      <c r="AO390" s="20">
        <v>4.7373000000000003</v>
      </c>
      <c r="AP390" s="20">
        <v>6.7599</v>
      </c>
      <c r="AQ390" s="20">
        <v>1.9087000000000001</v>
      </c>
      <c r="AR390" s="20">
        <v>4.5576999999999996</v>
      </c>
      <c r="AS390" s="20">
        <v>3.7343999999999999</v>
      </c>
      <c r="AT390" s="20">
        <v>5.4672999999999998</v>
      </c>
      <c r="AU390" s="20">
        <v>2.4796</v>
      </c>
      <c r="AV390" s="20">
        <v>3.2787000000000002</v>
      </c>
      <c r="AW390" s="6"/>
      <c r="AX390" s="18">
        <v>5.5750000000000001E-11</v>
      </c>
      <c r="AY390" s="18">
        <v>1.3740000000000001E-19</v>
      </c>
      <c r="AZ390" s="18">
        <v>6.6889999999999996E-3</v>
      </c>
      <c r="BA390" s="18">
        <v>1.4370000000000001E-10</v>
      </c>
      <c r="BB390" s="18">
        <v>1.6150000000000001E-7</v>
      </c>
      <c r="BC390" s="18">
        <v>1.1180000000000001E-12</v>
      </c>
      <c r="BD390" s="18">
        <v>4.125E-4</v>
      </c>
      <c r="BE390" s="18">
        <v>3.3419999999999999E-6</v>
      </c>
      <c r="BF390" s="13"/>
      <c r="BG390" t="s">
        <v>1322</v>
      </c>
      <c r="BH390" t="s">
        <v>1211</v>
      </c>
      <c r="BI390" t="s">
        <v>1113</v>
      </c>
      <c r="BJ390" t="s">
        <v>1251</v>
      </c>
      <c r="BK390" t="s">
        <v>1115</v>
      </c>
      <c r="BL390" t="s">
        <v>1116</v>
      </c>
      <c r="BM390" t="s">
        <v>1117</v>
      </c>
      <c r="BN390" s="13"/>
      <c r="BO390" t="s">
        <v>973</v>
      </c>
      <c r="BP390" t="s">
        <v>973</v>
      </c>
      <c r="BQ390" t="s">
        <v>973</v>
      </c>
      <c r="BR390" t="s">
        <v>973</v>
      </c>
    </row>
    <row r="391" spans="1:70" x14ac:dyDescent="0.25">
      <c r="A391" t="s">
        <v>782</v>
      </c>
      <c r="B391" t="s">
        <v>221</v>
      </c>
      <c r="C391" t="s">
        <v>222</v>
      </c>
      <c r="D391" s="6"/>
      <c r="E391" s="9" t="str">
        <f>HYPERLINK("http://plants.ensembl.org/Triticum_aestivum/Gene/Summary?g=TRIAE_CS42_6AL_TGACv1_473050_AA1528250","TRIAE_CS42_6AL_TGACv1_473050_AA1528250")</f>
        <v>TRIAE_CS42_6AL_TGACv1_473050_AA1528250</v>
      </c>
      <c r="F391" s="9" t="str">
        <f>HYPERLINK("http://mar2016-plants.ensembl.org/Triticum_aestivum/Gene/Summary?db=core;g=Traes_6AL_44C75161B","Traes_6AL_44C75161B")</f>
        <v>Traes_6AL_44C75161B</v>
      </c>
      <c r="H391" s="8" t="str">
        <f>HYPERLINK("http://plants.ensembl.org/Brachypodium_distachyon/Gene/Summary?g=Bradi3g49710","Bradi3g49710")</f>
        <v>Bradi3g49710</v>
      </c>
      <c r="I391" s="1" t="s">
        <v>1051</v>
      </c>
      <c r="J391" s="9" t="str">
        <f>HYPERLINK("http://plants.ensembl.org/Oryza_sativa/Gene/Summary?db=otherfeatures;g=LOC_Os02g42440","LOC_Os02g42440")</f>
        <v>LOC_Os02g42440</v>
      </c>
      <c r="L391" s="6"/>
      <c r="M391" s="1" t="s">
        <v>973</v>
      </c>
      <c r="N391" s="1" t="s">
        <v>973</v>
      </c>
      <c r="O391" s="1" t="s">
        <v>973</v>
      </c>
      <c r="P391" s="1" t="s">
        <v>973</v>
      </c>
      <c r="Q391" s="1" t="s">
        <v>973</v>
      </c>
      <c r="R391" s="1" t="s">
        <v>973</v>
      </c>
      <c r="S391" s="1">
        <v>1</v>
      </c>
      <c r="T391" s="6"/>
      <c r="U391" s="11">
        <v>7.472233219476748</v>
      </c>
      <c r="V391" s="11">
        <v>8.7440108070093192</v>
      </c>
      <c r="W391" s="11">
        <v>6.2650974116910749</v>
      </c>
      <c r="X391" s="11">
        <v>6.841875024402321</v>
      </c>
      <c r="Y391" s="11">
        <v>7.0053771553707849</v>
      </c>
      <c r="Z391" s="11">
        <v>6.4161788055921187</v>
      </c>
      <c r="AA391" s="11">
        <v>6.0694057272978608</v>
      </c>
      <c r="AB391" s="11">
        <v>6.0874501115320534</v>
      </c>
      <c r="AC391" s="11">
        <v>4.6629365381972026</v>
      </c>
      <c r="AD391" s="11">
        <v>5.2920823142547331</v>
      </c>
      <c r="AE391" s="11">
        <v>5.0629549247478121</v>
      </c>
      <c r="AF391" s="11">
        <v>4.6851627295717755</v>
      </c>
      <c r="AG391" s="11">
        <v>5.0191206871673497</v>
      </c>
      <c r="AH391" s="11">
        <v>4.5241368286606525</v>
      </c>
      <c r="AI391" s="11">
        <v>5.3930752111208919</v>
      </c>
      <c r="AJ391" s="11">
        <v>4.7639037207843407</v>
      </c>
      <c r="AK391" s="6"/>
      <c r="AL391" t="s">
        <v>1077</v>
      </c>
      <c r="AM391">
        <v>798</v>
      </c>
      <c r="AN391" s="6"/>
      <c r="AO391" s="20">
        <v>2.8906000000000001</v>
      </c>
      <c r="AP391" s="20">
        <v>3.7044999999999999</v>
      </c>
      <c r="AQ391" s="20">
        <v>1.2189000000000001</v>
      </c>
      <c r="AR391" s="20">
        <v>2.1996000000000002</v>
      </c>
      <c r="AS391" s="20">
        <v>2.0038999999999998</v>
      </c>
      <c r="AT391" s="20">
        <v>1.9025000000000001</v>
      </c>
      <c r="AU391" s="20">
        <v>0.68510000000000004</v>
      </c>
      <c r="AV391" s="20">
        <v>1.3439000000000001</v>
      </c>
      <c r="AW391" s="6"/>
      <c r="AX391" s="18">
        <v>4.7669999999999998E-13</v>
      </c>
      <c r="AY391" s="18">
        <v>7.7560000000000004E-19</v>
      </c>
      <c r="AZ391" s="18">
        <v>1.5349999999999999E-3</v>
      </c>
      <c r="BA391" s="18">
        <v>2.0809999999999999E-8</v>
      </c>
      <c r="BB391" s="18">
        <v>9.6379999999999993E-8</v>
      </c>
      <c r="BC391" s="18">
        <v>1.7179999999999999E-6</v>
      </c>
      <c r="BD391" s="18">
        <v>7.0999999999999994E-2</v>
      </c>
      <c r="BE391" s="18">
        <v>6.1510000000000004E-4</v>
      </c>
      <c r="BF391" s="13"/>
      <c r="BG391" t="s">
        <v>1325</v>
      </c>
      <c r="BH391" t="s">
        <v>1144</v>
      </c>
      <c r="BI391" t="s">
        <v>1113</v>
      </c>
      <c r="BJ391" t="s">
        <v>1127</v>
      </c>
      <c r="BK391" t="s">
        <v>1115</v>
      </c>
      <c r="BL391" t="s">
        <v>1116</v>
      </c>
      <c r="BM391" t="s">
        <v>1117</v>
      </c>
      <c r="BN391" s="13"/>
      <c r="BO391" t="s">
        <v>973</v>
      </c>
      <c r="BP391" t="s">
        <v>973</v>
      </c>
      <c r="BQ391" t="s">
        <v>973</v>
      </c>
      <c r="BR391" t="s">
        <v>973</v>
      </c>
    </row>
    <row r="392" spans="1:70" x14ac:dyDescent="0.25">
      <c r="A392" t="s">
        <v>223</v>
      </c>
      <c r="B392" t="s">
        <v>224</v>
      </c>
      <c r="C392" t="s">
        <v>225</v>
      </c>
      <c r="D392" s="6"/>
      <c r="E392" s="9" t="str">
        <f>HYPERLINK("http://plants.ensembl.org/Triticum_aestivum/Gene/Summary?g=TRIAE_CS42_2BL_TGACv1_130139_AA0404820","TRIAE_CS42_2BL_TGACv1_130139_AA0404820")</f>
        <v>TRIAE_CS42_2BL_TGACv1_130139_AA0404820</v>
      </c>
      <c r="F392" s="9" t="str">
        <f>HYPERLINK("http://mar2016-plants.ensembl.org/Triticum_aestivum/Gene/Summary?db=core;g=Traes_2BL_453EDDB30","Traes_2BL_453EDDB30")</f>
        <v>Traes_2BL_453EDDB30</v>
      </c>
      <c r="H392" s="8" t="str">
        <f>HYPERLINK("http://plants.ensembl.org/Brachypodium_distachyon/Gene/Summary?g=Bradi5g16310","Bradi5g16310")</f>
        <v>Bradi5g16310</v>
      </c>
      <c r="I392" s="8" t="str">
        <f>HYPERLINK("http://plants.ensembl.org/Arabidopsis_thaliana/Gene/Summary?g=AT5G23370","AT5G23370")</f>
        <v>AT5G23370</v>
      </c>
      <c r="J392" s="9" t="str">
        <f>HYPERLINK("http://plants.ensembl.org/Oryza_sativa/Gene/Summary?db=otherfeatures;g=LOC_Os04g44510","LOC_Os04g44510")</f>
        <v>LOC_Os04g44510</v>
      </c>
      <c r="L392" s="6"/>
      <c r="M392" s="1" t="s">
        <v>973</v>
      </c>
      <c r="N392" s="1" t="s">
        <v>973</v>
      </c>
      <c r="O392" s="1" t="s">
        <v>973</v>
      </c>
      <c r="P392" s="1" t="s">
        <v>973</v>
      </c>
      <c r="Q392" s="1" t="s">
        <v>973</v>
      </c>
      <c r="R392" s="1" t="s">
        <v>973</v>
      </c>
      <c r="S392" s="1">
        <v>1</v>
      </c>
      <c r="T392" s="6"/>
      <c r="U392" s="11">
        <v>6.8157884531515025</v>
      </c>
      <c r="V392" s="11">
        <v>6.5706774572672382</v>
      </c>
      <c r="W392" s="11">
        <v>4.3736134136395668</v>
      </c>
      <c r="X392" s="11">
        <v>4.2596993310358551</v>
      </c>
      <c r="Y392" s="11">
        <v>3.8592804935013287</v>
      </c>
      <c r="Z392" s="11">
        <v>3.6557906770178406</v>
      </c>
      <c r="AA392" s="11">
        <v>2.796770778483443</v>
      </c>
      <c r="AB392" s="11">
        <v>3.5101601993118248</v>
      </c>
      <c r="AC392" s="11">
        <v>1.8998072353403306</v>
      </c>
      <c r="AD392" s="11">
        <v>0.71861369897548444</v>
      </c>
      <c r="AE392" s="11">
        <v>0</v>
      </c>
      <c r="AF392" s="11">
        <v>0.53306492186963761</v>
      </c>
      <c r="AG392" s="11">
        <v>0.43303064971659827</v>
      </c>
      <c r="AH392" s="11">
        <v>0.40355859560642487</v>
      </c>
      <c r="AI392" s="11">
        <v>0.55313109576612829</v>
      </c>
      <c r="AJ392" s="11">
        <v>0.82578562746479145</v>
      </c>
      <c r="AK392" s="6"/>
      <c r="AL392" t="s">
        <v>1077</v>
      </c>
      <c r="AM392">
        <v>247</v>
      </c>
      <c r="AN392" s="6"/>
      <c r="AO392" s="20">
        <v>5.3490000000000002</v>
      </c>
      <c r="AP392" s="20">
        <v>6.1623999999999999</v>
      </c>
      <c r="AQ392" s="20">
        <v>6.3742999999999999</v>
      </c>
      <c r="AR392" s="20">
        <v>5.3315999999999999</v>
      </c>
      <c r="AS392" s="20">
        <v>4.9048999999999996</v>
      </c>
      <c r="AT392" s="20">
        <v>4.6082999999999998</v>
      </c>
      <c r="AU392" s="20">
        <v>3.2000999999999999</v>
      </c>
      <c r="AV392" s="20">
        <v>3.5329999999999999</v>
      </c>
      <c r="AW392" s="6"/>
      <c r="AX392" s="18">
        <v>1.9960000000000001E-11</v>
      </c>
      <c r="AY392" s="18">
        <v>1.188E-9</v>
      </c>
      <c r="AZ392" s="18">
        <v>1.0420000000000001E-7</v>
      </c>
      <c r="BA392" s="18">
        <v>3.6179999999999999E-6</v>
      </c>
      <c r="BB392" s="18">
        <v>3.145E-6</v>
      </c>
      <c r="BC392" s="18">
        <v>1.0569999999999999E-4</v>
      </c>
      <c r="BD392" s="18">
        <v>2.941E-3</v>
      </c>
      <c r="BE392" s="18">
        <v>3.344E-4</v>
      </c>
      <c r="BF392" s="13"/>
      <c r="BG392" t="s">
        <v>1146</v>
      </c>
      <c r="BH392" t="s">
        <v>1147</v>
      </c>
      <c r="BI392" t="s">
        <v>1113</v>
      </c>
      <c r="BJ392" t="s">
        <v>1114</v>
      </c>
      <c r="BK392" t="s">
        <v>1115</v>
      </c>
      <c r="BL392" t="s">
        <v>1116</v>
      </c>
      <c r="BM392" t="s">
        <v>1117</v>
      </c>
      <c r="BN392" s="13"/>
      <c r="BO392">
        <v>1</v>
      </c>
      <c r="BP392" t="s">
        <v>973</v>
      </c>
      <c r="BQ392" t="s">
        <v>973</v>
      </c>
      <c r="BR392" t="s">
        <v>973</v>
      </c>
    </row>
    <row r="393" spans="1:70" x14ac:dyDescent="0.25">
      <c r="A393" t="s">
        <v>814</v>
      </c>
      <c r="B393" t="s">
        <v>224</v>
      </c>
      <c r="C393" t="s">
        <v>225</v>
      </c>
      <c r="D393" s="6"/>
      <c r="E393" s="9" t="str">
        <f>HYPERLINK("http://plants.ensembl.org/Triticum_aestivum/Gene/Summary?g=TRIAE_CS42_6BL_TGACv1_499346_AA1578790","TRIAE_CS42_6BL_TGACv1_499346_AA1578790")</f>
        <v>TRIAE_CS42_6BL_TGACv1_499346_AA1578790</v>
      </c>
      <c r="F393" s="9" t="str">
        <f>HYPERLINK("http://mar2016-plants.ensembl.org/Triticum_aestivum/Gene/Summary?db=core;g=Traes_6BL_51C98AF50","Traes_6BL_51C98AF50")</f>
        <v>Traes_6BL_51C98AF50</v>
      </c>
      <c r="H393" s="8" t="str">
        <f>HYPERLINK("http://plants.ensembl.org/Brachypodium_distachyon/Gene/Summary?g=Bradi3g49710","Bradi3g49710")</f>
        <v>Bradi3g49710</v>
      </c>
      <c r="I393" s="1" t="s">
        <v>1051</v>
      </c>
      <c r="J393" s="9" t="str">
        <f>HYPERLINK("http://plants.ensembl.org/Oryza_sativa/Gene/Summary?db=otherfeatures;g=LOC_Os02g42440","LOC_Os02g42440")</f>
        <v>LOC_Os02g42440</v>
      </c>
      <c r="L393" s="6"/>
      <c r="M393" s="1" t="s">
        <v>973</v>
      </c>
      <c r="N393" s="1" t="s">
        <v>973</v>
      </c>
      <c r="O393" s="1" t="s">
        <v>973</v>
      </c>
      <c r="P393" s="1" t="s">
        <v>973</v>
      </c>
      <c r="Q393" s="1" t="s">
        <v>973</v>
      </c>
      <c r="R393" s="1" t="s">
        <v>973</v>
      </c>
      <c r="S393" s="1">
        <v>1</v>
      </c>
      <c r="T393" s="6"/>
      <c r="U393" s="11">
        <v>8.0642207317158867</v>
      </c>
      <c r="V393" s="11">
        <v>8.8622471107858836</v>
      </c>
      <c r="W393" s="11">
        <v>6.8572934783532995</v>
      </c>
      <c r="X393" s="11">
        <v>7.0032787782954813</v>
      </c>
      <c r="Y393" s="11">
        <v>7.3664626880147202</v>
      </c>
      <c r="Z393" s="11">
        <v>6.8375198715286798</v>
      </c>
      <c r="AA393" s="11">
        <v>6.2201603147222455</v>
      </c>
      <c r="AB393" s="11">
        <v>6.1220272817654164</v>
      </c>
      <c r="AC393" s="11">
        <v>4.1160652732256811</v>
      </c>
      <c r="AD393" s="11">
        <v>4.7308880817478896</v>
      </c>
      <c r="AE393" s="11">
        <v>4.2989221990589961</v>
      </c>
      <c r="AF393" s="11">
        <v>5.0013158589554267</v>
      </c>
      <c r="AG393" s="11">
        <v>4.8387618819433724</v>
      </c>
      <c r="AH393" s="11">
        <v>4.0109767191829206</v>
      </c>
      <c r="AI393" s="11">
        <v>4.7141410902457448</v>
      </c>
      <c r="AJ393" s="11">
        <v>3.6230669633004591</v>
      </c>
      <c r="AK393" s="6"/>
      <c r="AL393" t="s">
        <v>1077</v>
      </c>
      <c r="AM393">
        <v>846</v>
      </c>
      <c r="AN393" s="6"/>
      <c r="AO393" s="20">
        <v>4.0506000000000002</v>
      </c>
      <c r="AP393" s="20">
        <v>4.4621000000000004</v>
      </c>
      <c r="AQ393" s="20">
        <v>2.5869</v>
      </c>
      <c r="AR393" s="20">
        <v>2.0222000000000002</v>
      </c>
      <c r="AS393" s="20">
        <v>2.5461999999999998</v>
      </c>
      <c r="AT393" s="20">
        <v>2.8639999999999999</v>
      </c>
      <c r="AU393" s="20">
        <v>1.5194000000000001</v>
      </c>
      <c r="AV393" s="20">
        <v>2.5720000000000001</v>
      </c>
      <c r="AW393" s="6"/>
      <c r="AX393" s="18">
        <v>2.244E-22</v>
      </c>
      <c r="AY393" s="18">
        <v>8.7600000000000002E-24</v>
      </c>
      <c r="AZ393" s="18">
        <v>1.27E-10</v>
      </c>
      <c r="BA393" s="18">
        <v>2.286E-7</v>
      </c>
      <c r="BB393" s="18">
        <v>2.6220000000000001E-11</v>
      </c>
      <c r="BC393" s="18">
        <v>5.5889999999999997E-12</v>
      </c>
      <c r="BD393" s="18">
        <v>1.153E-4</v>
      </c>
      <c r="BE393" s="18">
        <v>1.8610000000000001E-9</v>
      </c>
      <c r="BF393" s="13"/>
      <c r="BG393" t="s">
        <v>1215</v>
      </c>
      <c r="BH393" t="s">
        <v>1144</v>
      </c>
      <c r="BI393" t="s">
        <v>1113</v>
      </c>
      <c r="BJ393" t="s">
        <v>1114</v>
      </c>
      <c r="BK393" t="s">
        <v>1115</v>
      </c>
      <c r="BL393" t="s">
        <v>1140</v>
      </c>
      <c r="BM393" t="s">
        <v>1117</v>
      </c>
      <c r="BN393" s="13"/>
      <c r="BO393" t="s">
        <v>973</v>
      </c>
      <c r="BP393" t="s">
        <v>973</v>
      </c>
      <c r="BQ393" t="s">
        <v>973</v>
      </c>
      <c r="BR393" t="s">
        <v>973</v>
      </c>
    </row>
    <row r="394" spans="1:70" x14ac:dyDescent="0.25">
      <c r="A394" t="s">
        <v>830</v>
      </c>
      <c r="B394" t="s">
        <v>224</v>
      </c>
      <c r="C394" t="s">
        <v>225</v>
      </c>
      <c r="D394" s="6"/>
      <c r="E394" s="9" t="str">
        <f>HYPERLINK("http://plants.ensembl.org/Triticum_aestivum/Gene/Summary?g=TRIAE_CS42_6DL_TGACv1_527680_AA1707350","TRIAE_CS42_6DL_TGACv1_527680_AA1707350")</f>
        <v>TRIAE_CS42_6DL_TGACv1_527680_AA1707350</v>
      </c>
      <c r="F394" s="9" t="str">
        <f>HYPERLINK("http://mar2016-plants.ensembl.org/Triticum_aestivum/Gene/Summary?db=core;g=Traes_6DL_73970D5BD","Traes_6DL_73970D5BD")</f>
        <v>Traes_6DL_73970D5BD</v>
      </c>
      <c r="H394" s="8" t="str">
        <f>HYPERLINK("http://plants.ensembl.org/Brachypodium_distachyon/Gene/Summary?g=Bradi3g49710","Bradi3g49710")</f>
        <v>Bradi3g49710</v>
      </c>
      <c r="I394" s="1" t="s">
        <v>1051</v>
      </c>
      <c r="J394" s="9" t="str">
        <f>HYPERLINK("http://plants.ensembl.org/Oryza_sativa/Gene/Summary?db=otherfeatures;g=LOC_Os02g42440","LOC_Os02g42440")</f>
        <v>LOC_Os02g42440</v>
      </c>
      <c r="L394" s="6"/>
      <c r="M394" s="1" t="s">
        <v>973</v>
      </c>
      <c r="N394" s="1" t="s">
        <v>973</v>
      </c>
      <c r="O394" s="1" t="s">
        <v>973</v>
      </c>
      <c r="P394" s="1" t="s">
        <v>973</v>
      </c>
      <c r="Q394" s="1" t="s">
        <v>973</v>
      </c>
      <c r="R394" s="1" t="s">
        <v>973</v>
      </c>
      <c r="S394" s="1">
        <v>1</v>
      </c>
      <c r="T394" s="6"/>
      <c r="U394" s="11">
        <v>8.3516807379677491</v>
      </c>
      <c r="V394" s="11">
        <v>9.6155156144986549</v>
      </c>
      <c r="W394" s="11">
        <v>7.1748245072593297</v>
      </c>
      <c r="X394" s="11">
        <v>7.5214818786882693</v>
      </c>
      <c r="Y394" s="11">
        <v>7.9026854288836583</v>
      </c>
      <c r="Z394" s="11">
        <v>7.1106430349161895</v>
      </c>
      <c r="AA394" s="11">
        <v>5.4670501006725836</v>
      </c>
      <c r="AB394" s="11">
        <v>5.2072551560993476</v>
      </c>
      <c r="AC394" s="11">
        <v>5.1172905438107561</v>
      </c>
      <c r="AD394" s="11">
        <v>6.0123265652668012</v>
      </c>
      <c r="AE394" s="11">
        <v>5.7220497323239847</v>
      </c>
      <c r="AF394" s="11">
        <v>5.4296260061276289</v>
      </c>
      <c r="AG394" s="11">
        <v>5.8641646795040021</v>
      </c>
      <c r="AH394" s="11">
        <v>5.2216696046534583</v>
      </c>
      <c r="AI394" s="11">
        <v>4.8089701794346205</v>
      </c>
      <c r="AJ394" s="11">
        <v>4.3686612719127194</v>
      </c>
      <c r="AK394" s="6"/>
      <c r="AL394" t="s">
        <v>1077</v>
      </c>
      <c r="AM394">
        <v>0</v>
      </c>
      <c r="AN394" s="6"/>
      <c r="AO394" s="20">
        <v>3.2841</v>
      </c>
      <c r="AP394" s="20">
        <v>3.8334999999999999</v>
      </c>
      <c r="AQ394" s="20">
        <v>1.4601999999999999</v>
      </c>
      <c r="AR394" s="20">
        <v>2.1095000000000002</v>
      </c>
      <c r="AS394" s="20">
        <v>2.0396000000000001</v>
      </c>
      <c r="AT394" s="20">
        <v>1.9105000000000001</v>
      </c>
      <c r="AU394" s="20">
        <v>0.66610000000000003</v>
      </c>
      <c r="AV394" s="20">
        <v>0.8569</v>
      </c>
      <c r="AW394" s="6"/>
      <c r="AX394" s="18">
        <v>2.7820000000000001E-16</v>
      </c>
      <c r="AY394" s="18">
        <v>1.843E-20</v>
      </c>
      <c r="AZ394" s="18">
        <v>1.7359999999999999E-4</v>
      </c>
      <c r="BA394" s="18">
        <v>8.2500000000000004E-8</v>
      </c>
      <c r="BB394" s="18">
        <v>9.6589999999999993E-8</v>
      </c>
      <c r="BC394" s="18">
        <v>1.522E-6</v>
      </c>
      <c r="BD394" s="18">
        <v>0.10249999999999999</v>
      </c>
      <c r="BE394" s="18">
        <v>4.3880000000000002E-2</v>
      </c>
      <c r="BF394" s="13"/>
      <c r="BG394" t="s">
        <v>1215</v>
      </c>
      <c r="BH394" t="s">
        <v>1144</v>
      </c>
      <c r="BI394" t="s">
        <v>1113</v>
      </c>
      <c r="BJ394" t="s">
        <v>1127</v>
      </c>
      <c r="BK394" t="s">
        <v>1115</v>
      </c>
      <c r="BL394" t="s">
        <v>1203</v>
      </c>
      <c r="BM394" t="s">
        <v>1117</v>
      </c>
      <c r="BN394" s="13"/>
      <c r="BO394" t="s">
        <v>973</v>
      </c>
      <c r="BP394" t="s">
        <v>973</v>
      </c>
      <c r="BQ394" t="s">
        <v>973</v>
      </c>
      <c r="BR394" t="s">
        <v>973</v>
      </c>
    </row>
    <row r="395" spans="1:70" x14ac:dyDescent="0.25">
      <c r="A395" t="s">
        <v>841</v>
      </c>
      <c r="B395" t="s">
        <v>524</v>
      </c>
      <c r="C395" t="s">
        <v>525</v>
      </c>
      <c r="D395" s="6"/>
      <c r="E395" s="9" t="str">
        <f>HYPERLINK("http://plants.ensembl.org/Triticum_aestivum/Gene/Summary?g=TRIAE_CS42_7AS_TGACv1_569206_AA1810320","TRIAE_CS42_7AS_TGACv1_569206_AA1810320")</f>
        <v>TRIAE_CS42_7AS_TGACv1_569206_AA1810320</v>
      </c>
      <c r="F395" s="9" t="str">
        <f>HYPERLINK("http://mar2016-plants.ensembl.org/Triticum_aestivum/Gene/Summary?db=core;g=Traes_7AS_EDFB9AC0D","Traes_7AS_EDFB9AC0D")</f>
        <v>Traes_7AS_EDFB9AC0D</v>
      </c>
      <c r="G395" t="s">
        <v>980</v>
      </c>
      <c r="H395" s="8" t="str">
        <f>HYPERLINK("http://plants.ensembl.org/Brachypodium_distachyon/Gene/Summary?g=Bradi2g60350","Bradi2g60350")</f>
        <v>Bradi2g60350</v>
      </c>
      <c r="I395" s="8" t="str">
        <f>HYPERLINK("http://plants.ensembl.org/Arabidopsis_thaliana/Gene/Summary?g=AT2G26300","AT2G26300")</f>
        <v>AT2G26300</v>
      </c>
      <c r="J395" s="9" t="str">
        <f>HYPERLINK("http://plants.ensembl.org/Oryza_sativa/Gene/Summary?db=otherfeatures;g=LOC_Os05g26890","LOC_Os05g26890")</f>
        <v>LOC_Os05g26890</v>
      </c>
      <c r="K395" s="9" t="str">
        <f>HYPERLINK("http://plants.ensembl.org/Zea_mays/Gene/Summary?db=otherfeatures;g=GRMZM2G064732","GRMZM2G064732")</f>
        <v>GRMZM2G064732</v>
      </c>
      <c r="L395" s="6"/>
      <c r="M395">
        <v>1</v>
      </c>
      <c r="N395" t="s">
        <v>973</v>
      </c>
      <c r="O395">
        <v>1</v>
      </c>
      <c r="P395" t="s">
        <v>973</v>
      </c>
      <c r="S395">
        <v>1</v>
      </c>
      <c r="T395" s="6"/>
      <c r="U395" s="11">
        <v>7.7967078432464065</v>
      </c>
      <c r="V395" s="11">
        <v>6.4765134641146602</v>
      </c>
      <c r="W395" s="11">
        <v>8.6707957323990161</v>
      </c>
      <c r="X395" s="11">
        <v>8.5836678776718642</v>
      </c>
      <c r="Y395" s="11">
        <v>8.7763372882741901</v>
      </c>
      <c r="Z395" s="11">
        <v>8.4965431734791288</v>
      </c>
      <c r="AA395" s="11">
        <v>8.5102957845796183</v>
      </c>
      <c r="AB395" s="11">
        <v>8.6532796873978945</v>
      </c>
      <c r="AC395" s="11">
        <v>7.5492928423051504</v>
      </c>
      <c r="AD395" s="11">
        <v>7.2461698987514582</v>
      </c>
      <c r="AE395" s="11">
        <v>8.2409857450715087</v>
      </c>
      <c r="AF395" s="11">
        <v>8.3412778906615959</v>
      </c>
      <c r="AG395" s="11">
        <v>8.3786305424328251</v>
      </c>
      <c r="AH395" s="11">
        <v>8.2002916547615818</v>
      </c>
      <c r="AI395" s="11">
        <v>8.4977639023743823</v>
      </c>
      <c r="AJ395" s="11">
        <v>8.606867220640007</v>
      </c>
      <c r="AK395" s="6"/>
      <c r="AL395" t="s">
        <v>1085</v>
      </c>
      <c r="AM395">
        <v>0</v>
      </c>
      <c r="AN395" s="6"/>
      <c r="AO395" s="20">
        <v>0.26090000000000002</v>
      </c>
      <c r="AP395" s="20">
        <v>-0.82909999999999995</v>
      </c>
      <c r="AQ395" s="20">
        <v>0.43099999999999999</v>
      </c>
      <c r="AR395" s="20">
        <v>0.24790000000000001</v>
      </c>
      <c r="AS395" s="20">
        <v>0.39879999999999999</v>
      </c>
      <c r="AT395" s="20">
        <v>0.29120000000000001</v>
      </c>
      <c r="AU395" s="20">
        <v>1.37E-2</v>
      </c>
      <c r="AV395" s="20">
        <v>4.6600000000000003E-2</v>
      </c>
      <c r="AW395" s="6"/>
      <c r="AX395" s="18">
        <v>0.20250000000000001</v>
      </c>
      <c r="AY395" s="18">
        <v>2.019E-3</v>
      </c>
      <c r="AZ395" s="18">
        <v>2.1239999999999998E-2</v>
      </c>
      <c r="BA395" s="18">
        <v>0.1875</v>
      </c>
      <c r="BB395" s="18">
        <v>3.1669999999999997E-2</v>
      </c>
      <c r="BC395" s="18">
        <v>0.12230000000000001</v>
      </c>
      <c r="BD395" s="18">
        <v>0.94120000000000004</v>
      </c>
      <c r="BE395" s="18">
        <v>0.80289999999999995</v>
      </c>
      <c r="BF395" s="13"/>
      <c r="BG395" t="s">
        <v>1111</v>
      </c>
      <c r="BH395" t="s">
        <v>1157</v>
      </c>
      <c r="BI395" t="s">
        <v>1242</v>
      </c>
      <c r="BJ395" t="s">
        <v>1148</v>
      </c>
      <c r="BK395" t="s">
        <v>1115</v>
      </c>
      <c r="BL395" t="s">
        <v>1116</v>
      </c>
      <c r="BM395" t="s">
        <v>1117</v>
      </c>
      <c r="BN395" s="13"/>
      <c r="BO395" t="s">
        <v>973</v>
      </c>
      <c r="BP395" t="s">
        <v>973</v>
      </c>
      <c r="BQ395" t="s">
        <v>973</v>
      </c>
      <c r="BR395" t="s">
        <v>973</v>
      </c>
    </row>
    <row r="396" spans="1:70" x14ac:dyDescent="0.25">
      <c r="A396" t="s">
        <v>931</v>
      </c>
      <c r="B396" t="s">
        <v>524</v>
      </c>
      <c r="C396" t="s">
        <v>525</v>
      </c>
      <c r="D396" s="6"/>
      <c r="E396" s="9" t="str">
        <f>HYPERLINK("http://plants.ensembl.org/Triticum_aestivum/Gene/Summary?g=TRIAE_CS42_7DS_TGACv1_622135_AA2033470","TRIAE_CS42_7DS_TGACv1_622135_AA2033470")</f>
        <v>TRIAE_CS42_7DS_TGACv1_622135_AA2033470</v>
      </c>
      <c r="F396" s="9" t="str">
        <f>HYPERLINK("http://mar2016-plants.ensembl.org/Triticum_aestivum/Gene/Summary?db=core;g=Traes_7DS_E82F0FAE3","Traes_7DS_E82F0FAE3")</f>
        <v>Traes_7DS_E82F0FAE3</v>
      </c>
      <c r="G396" t="s">
        <v>980</v>
      </c>
      <c r="H396" s="8" t="str">
        <f>HYPERLINK("http://plants.ensembl.org/Brachypodium_distachyon/Gene/Summary?g=Bradi2g60350","Bradi2g60350")</f>
        <v>Bradi2g60350</v>
      </c>
      <c r="I396" s="8" t="str">
        <f>HYPERLINK("http://plants.ensembl.org/Arabidopsis_thaliana/Gene/Summary?g=AT2G26300","AT2G26300")</f>
        <v>AT2G26300</v>
      </c>
      <c r="J396" s="9" t="str">
        <f>HYPERLINK("http://plants.ensembl.org/Oryza_sativa/Gene/Summary?db=otherfeatures;g=LOC_Os05g26890","LOC_Os05g26890")</f>
        <v>LOC_Os05g26890</v>
      </c>
      <c r="K396" s="9" t="str">
        <f>HYPERLINK("http://plants.ensembl.org/Zea_mays/Gene/Summary?db=otherfeatures;g=GRMZM2G064732","GRMZM2G064732")</f>
        <v>GRMZM2G064732</v>
      </c>
      <c r="L396" s="6"/>
      <c r="M396">
        <v>1</v>
      </c>
      <c r="N396" t="s">
        <v>973</v>
      </c>
      <c r="O396">
        <v>1</v>
      </c>
      <c r="P396" t="s">
        <v>973</v>
      </c>
      <c r="S396">
        <v>1</v>
      </c>
      <c r="T396" s="6"/>
      <c r="U396" s="11">
        <v>8.7281071308529814</v>
      </c>
      <c r="V396" s="11">
        <v>7.1662397564808193</v>
      </c>
      <c r="W396" s="11">
        <v>8.6505230846736438</v>
      </c>
      <c r="X396" s="11">
        <v>8.5295535391442616</v>
      </c>
      <c r="Y396" s="11">
        <v>8.651962000497198</v>
      </c>
      <c r="Z396" s="11">
        <v>8.8679921875854806</v>
      </c>
      <c r="AA396" s="11">
        <v>8.4205774209800079</v>
      </c>
      <c r="AB396" s="11">
        <v>9.0027062703620597</v>
      </c>
      <c r="AC396" s="11">
        <v>9.0353010449329183</v>
      </c>
      <c r="AD396" s="11">
        <v>8.7448697082589693</v>
      </c>
      <c r="AE396" s="11">
        <v>8.8404703675970175</v>
      </c>
      <c r="AF396" s="11">
        <v>8.944873181050955</v>
      </c>
      <c r="AG396" s="11">
        <v>8.8593719239934892</v>
      </c>
      <c r="AH396" s="11">
        <v>8.9906932158739234</v>
      </c>
      <c r="AI396" s="11">
        <v>9.0975623408098549</v>
      </c>
      <c r="AJ396" s="11">
        <v>9.2327015238600492</v>
      </c>
      <c r="AK396" s="6"/>
      <c r="AL396" t="s">
        <v>1076</v>
      </c>
      <c r="AM396">
        <v>0</v>
      </c>
      <c r="AN396" s="6"/>
      <c r="AO396" s="20">
        <v>-0.31469999999999998</v>
      </c>
      <c r="AP396" s="20">
        <v>-1.4572000000000001</v>
      </c>
      <c r="AQ396" s="20">
        <v>-0.18970000000000001</v>
      </c>
      <c r="AR396" s="20">
        <v>-0.41189999999999999</v>
      </c>
      <c r="AS396" s="20">
        <v>-0.20780000000000001</v>
      </c>
      <c r="AT396" s="20">
        <v>-0.1273</v>
      </c>
      <c r="AU396" s="20">
        <v>-0.67879999999999996</v>
      </c>
      <c r="AV396" s="20">
        <v>-0.2298</v>
      </c>
      <c r="AW396" s="6"/>
      <c r="AX396" s="18">
        <v>5.8590000000000003E-2</v>
      </c>
      <c r="AY396" s="18">
        <v>2.0220000000000001E-12</v>
      </c>
      <c r="AZ396" s="18">
        <v>0.2336</v>
      </c>
      <c r="BA396" s="18">
        <v>1.026E-2</v>
      </c>
      <c r="BB396" s="18">
        <v>0.19089999999999999</v>
      </c>
      <c r="BC396" s="18">
        <v>0.42309999999999998</v>
      </c>
      <c r="BD396" s="18">
        <v>1.8689999999999999E-5</v>
      </c>
      <c r="BE396" s="18">
        <v>0.14649999999999999</v>
      </c>
      <c r="BF396" s="13"/>
      <c r="BG396" t="s">
        <v>1128</v>
      </c>
      <c r="BH396" t="s">
        <v>1157</v>
      </c>
      <c r="BI396" t="s">
        <v>1113</v>
      </c>
      <c r="BJ396" t="s">
        <v>1148</v>
      </c>
      <c r="BK396" t="s">
        <v>1115</v>
      </c>
      <c r="BL396" t="s">
        <v>1116</v>
      </c>
      <c r="BM396" t="s">
        <v>1117</v>
      </c>
      <c r="BN396" s="13"/>
      <c r="BO396" t="s">
        <v>973</v>
      </c>
      <c r="BP396" t="s">
        <v>973</v>
      </c>
      <c r="BQ396" t="s">
        <v>973</v>
      </c>
      <c r="BR396" t="s">
        <v>973</v>
      </c>
    </row>
    <row r="397" spans="1:70" x14ac:dyDescent="0.25">
      <c r="A397" t="s">
        <v>559</v>
      </c>
      <c r="B397" t="s">
        <v>560</v>
      </c>
      <c r="C397" t="s">
        <v>561</v>
      </c>
      <c r="D397" s="6"/>
      <c r="E397" s="9" t="str">
        <f>HYPERLINK("http://plants.ensembl.org/Triticum_aestivum/Gene/Summary?g=TRIAE_CS42_4DS_TGACv1_361176_AA1162750","TRIAE_CS42_4DS_TGACv1_361176_AA1162750")</f>
        <v>TRIAE_CS42_4DS_TGACv1_361176_AA1162750</v>
      </c>
      <c r="F397" s="9" t="str">
        <f>HYPERLINK("http://mar2016-plants.ensembl.org/Triticum_aestivum/Gene/Summary?db=core;g=Traes_4DS_1724ED9FB","Traes_4DS_1724ED9FB")</f>
        <v>Traes_4DS_1724ED9FB</v>
      </c>
      <c r="G397" t="s">
        <v>1011</v>
      </c>
      <c r="H397" s="8" t="str">
        <f>HYPERLINK("http://plants.ensembl.org/Brachypodium_distachyon/Gene/Summary?g=Bradi1g12820","Bradi1g12820")</f>
        <v>Bradi1g12820</v>
      </c>
      <c r="I397" s="8" t="str">
        <f>HYPERLINK("http://plants.ensembl.org/Arabidopsis_thaliana/Gene/Summary?g=AT4G34460","AT4G34460")</f>
        <v>AT4G34460</v>
      </c>
      <c r="J397" s="9" t="str">
        <f>HYPERLINK("http://plants.ensembl.org/Oryza_sativa/Gene/Summary?db=otherfeatures;g=LOC_Os03g46650","LOC_Os03g46650")</f>
        <v>LOC_Os03g46650</v>
      </c>
      <c r="K397" s="9" t="str">
        <f>HYPERLINK("http://plants.ensembl.org/Zea_mays/Gene/Summary?db=otherfeatures;g=GRMZM2G045314","GRMZM2G045314")</f>
        <v>GRMZM2G045314</v>
      </c>
      <c r="L397" s="6"/>
      <c r="M397">
        <v>1</v>
      </c>
      <c r="N397">
        <v>1</v>
      </c>
      <c r="O397">
        <v>1</v>
      </c>
      <c r="P397" t="s">
        <v>973</v>
      </c>
      <c r="S397" t="s">
        <v>973</v>
      </c>
      <c r="T397" s="6"/>
      <c r="U397" s="11">
        <v>7.0140855808075271</v>
      </c>
      <c r="V397" s="11">
        <v>6.2647528440434366</v>
      </c>
      <c r="W397" s="11">
        <v>6.8731791326752854</v>
      </c>
      <c r="X397" s="11">
        <v>7.0090261195723063</v>
      </c>
      <c r="Y397" s="11">
        <v>7.0468758963374194</v>
      </c>
      <c r="Z397" s="11">
        <v>6.8526389492901423</v>
      </c>
      <c r="AA397" s="11">
        <v>7.1393855864243783</v>
      </c>
      <c r="AB397" s="11">
        <v>7.058656706930412</v>
      </c>
      <c r="AC397" s="11">
        <v>7.2842337176797169</v>
      </c>
      <c r="AD397" s="11">
        <v>7.1663515791352141</v>
      </c>
      <c r="AE397" s="11">
        <v>6.9715542831170234</v>
      </c>
      <c r="AF397" s="11">
        <v>7.0248279138754706</v>
      </c>
      <c r="AG397" s="11">
        <v>7.1815200288760384</v>
      </c>
      <c r="AH397" s="11">
        <v>7.0076582320337835</v>
      </c>
      <c r="AI397" s="11">
        <v>7.2294597458456371</v>
      </c>
      <c r="AJ397" s="11">
        <v>7.0331737204773681</v>
      </c>
      <c r="AK397" s="6"/>
      <c r="AL397" t="s">
        <v>1079</v>
      </c>
      <c r="AM397">
        <v>0</v>
      </c>
      <c r="AN397" s="6"/>
      <c r="AO397" s="20">
        <v>-0.32</v>
      </c>
      <c r="AP397" s="20">
        <v>-1.1578999999999999</v>
      </c>
      <c r="AQ397" s="20">
        <v>-0.1</v>
      </c>
      <c r="AR397" s="20">
        <v>-2.0400000000000001E-2</v>
      </c>
      <c r="AS397" s="20">
        <v>-0.13159999999999999</v>
      </c>
      <c r="AT397" s="20">
        <v>-0.16980000000000001</v>
      </c>
      <c r="AU397" s="20">
        <v>-0.1021</v>
      </c>
      <c r="AV397" s="20">
        <v>2.64E-2</v>
      </c>
      <c r="AW397" s="6"/>
      <c r="AX397" s="18">
        <v>4.6269999999999999E-2</v>
      </c>
      <c r="AY397" s="18">
        <v>8.104E-7</v>
      </c>
      <c r="AZ397" s="18">
        <v>0.48010000000000003</v>
      </c>
      <c r="BA397" s="18">
        <v>0.88670000000000004</v>
      </c>
      <c r="BB397" s="18">
        <v>0.33379999999999999</v>
      </c>
      <c r="BC397" s="18">
        <v>0.23710000000000001</v>
      </c>
      <c r="BD397" s="18">
        <v>0.44640000000000002</v>
      </c>
      <c r="BE397" s="18">
        <v>0.85289999999999999</v>
      </c>
      <c r="BF397" s="13"/>
      <c r="BG397" t="s">
        <v>1128</v>
      </c>
      <c r="BH397" t="s">
        <v>1130</v>
      </c>
      <c r="BI397" t="s">
        <v>1113</v>
      </c>
      <c r="BJ397" t="s">
        <v>1114</v>
      </c>
      <c r="BK397" t="s">
        <v>1115</v>
      </c>
      <c r="BL397" t="s">
        <v>1116</v>
      </c>
      <c r="BM397" t="s">
        <v>1117</v>
      </c>
      <c r="BN397" s="13"/>
      <c r="BO397" t="s">
        <v>973</v>
      </c>
      <c r="BP397" t="s">
        <v>973</v>
      </c>
      <c r="BQ397" t="s">
        <v>973</v>
      </c>
      <c r="BR397" t="s">
        <v>973</v>
      </c>
    </row>
    <row r="398" spans="1:70" x14ac:dyDescent="0.25">
      <c r="A398" t="s">
        <v>67</v>
      </c>
      <c r="B398" t="s">
        <v>68</v>
      </c>
      <c r="C398" t="s">
        <v>69</v>
      </c>
      <c r="D398" s="6"/>
      <c r="E398" s="9" t="str">
        <f>HYPERLINK("http://plants.ensembl.org/Triticum_aestivum/Gene/Summary?g=TRIAE_CS42_1AL_TGACv1_001067_AA0024380","TRIAE_CS42_1AL_TGACv1_001067_AA0024380")</f>
        <v>TRIAE_CS42_1AL_TGACv1_001067_AA0024380</v>
      </c>
      <c r="F398" s="9" t="str">
        <f>HYPERLINK("http://mar2016-plants.ensembl.org/Triticum_aestivum/Gene/Summary?db=core;g=Traes_1AL_A382ADCCC","Traes_1AL_A382ADCCC")</f>
        <v>Traes_1AL_A382ADCCC</v>
      </c>
      <c r="G398" t="s">
        <v>977</v>
      </c>
      <c r="H398" s="8" t="str">
        <f>HYPERLINK("http://plants.ensembl.org/Brachypodium_distachyon/Gene/Summary?g=Bradi2g14830","Bradi2g14830")</f>
        <v>Bradi2g14830</v>
      </c>
      <c r="I398" s="8" t="str">
        <f>HYPERLINK("http://plants.ensembl.org/Arabidopsis_thaliana/Gene/Summary?g=AT2G46370","AT2G46370")</f>
        <v>AT2G46370</v>
      </c>
      <c r="J398" s="9" t="str">
        <f>HYPERLINK("http://plants.ensembl.org/Oryza_sativa/Gene/Summary?db=otherfeatures;g=LOC_Os05g50890","LOC_Os05g50890")</f>
        <v>LOC_Os05g50890</v>
      </c>
      <c r="K398" s="9" t="str">
        <f>HYPERLINK("http://plants.ensembl.org/Zea_mays/Gene/Summary?db=otherfeatures;g=GRMZM2G162413","GRMZM2G162413")</f>
        <v>GRMZM2G162413</v>
      </c>
      <c r="L398" s="6"/>
      <c r="M398" t="s">
        <v>973</v>
      </c>
      <c r="N398">
        <v>1</v>
      </c>
      <c r="O398" t="s">
        <v>973</v>
      </c>
      <c r="P398">
        <v>1</v>
      </c>
      <c r="S398" t="s">
        <v>973</v>
      </c>
      <c r="T398" s="6"/>
      <c r="U398" s="11">
        <v>7.5523207083141299</v>
      </c>
      <c r="V398" s="11">
        <v>8.4692806573972366</v>
      </c>
      <c r="W398" s="11">
        <v>7.2156659787947239</v>
      </c>
      <c r="X398" s="11">
        <v>8.1355499182768583</v>
      </c>
      <c r="Y398" s="11">
        <v>7.1254548004564855</v>
      </c>
      <c r="Z398" s="11">
        <v>8.4379689630171555</v>
      </c>
      <c r="AA398" s="11">
        <v>7.0525908729180724</v>
      </c>
      <c r="AB398" s="11">
        <v>8.158004041507942</v>
      </c>
      <c r="AC398" s="11">
        <v>6.9423545880017272</v>
      </c>
      <c r="AD398" s="11">
        <v>8.4026813947161578</v>
      </c>
      <c r="AE398" s="11">
        <v>7.1356908194896898</v>
      </c>
      <c r="AF398" s="11">
        <v>8.1369574573451136</v>
      </c>
      <c r="AG398" s="11">
        <v>6.917953217832352</v>
      </c>
      <c r="AH398" s="11">
        <v>8.4830920990036685</v>
      </c>
      <c r="AI398" s="11">
        <v>6.8518739446706167</v>
      </c>
      <c r="AJ398" s="11">
        <v>8.0307425332527433</v>
      </c>
      <c r="AK398" s="6"/>
      <c r="AL398" t="s">
        <v>1080</v>
      </c>
      <c r="AM398">
        <v>0</v>
      </c>
      <c r="AN398" s="6"/>
      <c r="AO398" s="20">
        <v>0.61180000000000001</v>
      </c>
      <c r="AP398" s="20">
        <v>0.12239999999999999</v>
      </c>
      <c r="AQ398" s="20">
        <v>7.7399999999999997E-2</v>
      </c>
      <c r="AR398" s="20">
        <v>-8.6E-3</v>
      </c>
      <c r="AS398" s="20">
        <v>0.20930000000000001</v>
      </c>
      <c r="AT398" s="20">
        <v>-3.9800000000000002E-2</v>
      </c>
      <c r="AU398" s="20">
        <v>0.20349999999999999</v>
      </c>
      <c r="AV398" s="20">
        <v>0.12809999999999999</v>
      </c>
      <c r="AW398" s="6"/>
      <c r="AX398" s="18">
        <v>9.9489999999999995E-3</v>
      </c>
      <c r="AY398" s="18">
        <v>0.60929999999999995</v>
      </c>
      <c r="AZ398" s="18">
        <v>0.73029999999999995</v>
      </c>
      <c r="BA398" s="18">
        <v>0.96840000000000004</v>
      </c>
      <c r="BB398" s="18">
        <v>0.3523</v>
      </c>
      <c r="BC398" s="18">
        <v>0.85340000000000005</v>
      </c>
      <c r="BD398" s="18">
        <v>0.36799999999999999</v>
      </c>
      <c r="BE398" s="18">
        <v>0.55610000000000004</v>
      </c>
      <c r="BF398" s="13"/>
      <c r="BG398" t="s">
        <v>1111</v>
      </c>
      <c r="BH398" t="s">
        <v>1112</v>
      </c>
      <c r="BI398" t="s">
        <v>1113</v>
      </c>
      <c r="BJ398" t="s">
        <v>1257</v>
      </c>
      <c r="BK398" t="s">
        <v>1139</v>
      </c>
      <c r="BL398" t="s">
        <v>1116</v>
      </c>
      <c r="BM398" t="s">
        <v>1117</v>
      </c>
      <c r="BN398" s="13"/>
      <c r="BO398" t="s">
        <v>973</v>
      </c>
      <c r="BP398" t="s">
        <v>973</v>
      </c>
      <c r="BQ398" t="s">
        <v>973</v>
      </c>
      <c r="BR398" t="s">
        <v>973</v>
      </c>
    </row>
    <row r="399" spans="1:70" x14ac:dyDescent="0.25">
      <c r="A399" t="s">
        <v>97</v>
      </c>
      <c r="B399" t="s">
        <v>68</v>
      </c>
      <c r="C399" t="s">
        <v>69</v>
      </c>
      <c r="D399" s="6"/>
      <c r="E399" s="9" t="str">
        <f>HYPERLINK("http://plants.ensembl.org/Triticum_aestivum/Gene/Summary?g=TRIAE_CS42_1BL_TGACv1_030488_AA0092220","TRIAE_CS42_1BL_TGACv1_030488_AA0092220")</f>
        <v>TRIAE_CS42_1BL_TGACv1_030488_AA0092220</v>
      </c>
      <c r="F399" s="9" t="str">
        <f>HYPERLINK("http://mar2016-plants.ensembl.org/Triticum_aestivum/Gene/Summary?db=core;g=Traes_1BL_ACAA87960","Traes_1BL_ACAA87960")</f>
        <v>Traes_1BL_ACAA87960</v>
      </c>
      <c r="G399" t="s">
        <v>977</v>
      </c>
      <c r="H399" s="8" t="str">
        <f>HYPERLINK("http://plants.ensembl.org/Brachypodium_distachyon/Gene/Summary?g=Bradi2g14830","Bradi2g14830")</f>
        <v>Bradi2g14830</v>
      </c>
      <c r="I399" s="8" t="str">
        <f>HYPERLINK("http://plants.ensembl.org/Arabidopsis_thaliana/Gene/Summary?g=AT2G46370","AT2G46370")</f>
        <v>AT2G46370</v>
      </c>
      <c r="J399" s="9" t="str">
        <f>HYPERLINK("http://plants.ensembl.org/Oryza_sativa/Gene/Summary?db=otherfeatures;g=LOC_Os05g50890","LOC_Os05g50890")</f>
        <v>LOC_Os05g50890</v>
      </c>
      <c r="L399" s="6"/>
      <c r="M399" s="1" t="s">
        <v>973</v>
      </c>
      <c r="N399" s="1" t="s">
        <v>973</v>
      </c>
      <c r="O399" s="1" t="s">
        <v>973</v>
      </c>
      <c r="P399" s="1">
        <v>1</v>
      </c>
      <c r="Q399" s="1" t="s">
        <v>973</v>
      </c>
      <c r="R399" s="1" t="s">
        <v>973</v>
      </c>
      <c r="S399" s="1"/>
      <c r="T399" s="6"/>
      <c r="U399" s="11">
        <v>8.1567958604277369</v>
      </c>
      <c r="V399" s="11">
        <v>8.8552006114860937</v>
      </c>
      <c r="W399" s="11">
        <v>7.7715799239740697</v>
      </c>
      <c r="X399" s="11">
        <v>8.2705792427234162</v>
      </c>
      <c r="Y399" s="11">
        <v>7.5473616528408281</v>
      </c>
      <c r="Z399" s="11">
        <v>8.5498375369241462</v>
      </c>
      <c r="AA399" s="11">
        <v>7.7338033050598183</v>
      </c>
      <c r="AB399" s="11">
        <v>8.3208808593021892</v>
      </c>
      <c r="AC399" s="11">
        <v>7.5014619690720608</v>
      </c>
      <c r="AD399" s="11">
        <v>8.1303225849876224</v>
      </c>
      <c r="AE399" s="11">
        <v>7.5667291680415527</v>
      </c>
      <c r="AF399" s="11">
        <v>8.2907160578589068</v>
      </c>
      <c r="AG399" s="11">
        <v>7.3945753047464651</v>
      </c>
      <c r="AH399" s="11">
        <v>8.6331225023982103</v>
      </c>
      <c r="AI399" s="11">
        <v>7.2843660658103513</v>
      </c>
      <c r="AJ399" s="11">
        <v>8.0747455373080523</v>
      </c>
      <c r="AK399" s="6"/>
      <c r="AL399" t="s">
        <v>1080</v>
      </c>
      <c r="AM399">
        <v>0</v>
      </c>
      <c r="AN399" s="6"/>
      <c r="AO399" s="20">
        <v>0.68120000000000003</v>
      </c>
      <c r="AP399" s="20">
        <v>0.75019999999999998</v>
      </c>
      <c r="AQ399" s="20">
        <v>0.2059</v>
      </c>
      <c r="AR399" s="20">
        <v>-2.6100000000000002E-2</v>
      </c>
      <c r="AS399" s="20">
        <v>0.15160000000000001</v>
      </c>
      <c r="AT399" s="20">
        <v>-7.8799999999999995E-2</v>
      </c>
      <c r="AU399" s="20">
        <v>0.45279999999999998</v>
      </c>
      <c r="AV399" s="20">
        <v>0.24660000000000001</v>
      </c>
      <c r="AW399" s="6"/>
      <c r="AX399" s="18">
        <v>2.14E-3</v>
      </c>
      <c r="AY399" s="18">
        <v>1.15E-3</v>
      </c>
      <c r="AZ399" s="18">
        <v>0.3352</v>
      </c>
      <c r="BA399" s="18">
        <v>0.90139999999999998</v>
      </c>
      <c r="BB399" s="18">
        <v>0.47949999999999998</v>
      </c>
      <c r="BC399" s="18">
        <v>0.70499999999999996</v>
      </c>
      <c r="BD399" s="18">
        <v>3.4529999999999998E-2</v>
      </c>
      <c r="BE399" s="18">
        <v>0.2417</v>
      </c>
      <c r="BF399" s="13"/>
      <c r="BG399" t="s">
        <v>1111</v>
      </c>
      <c r="BH399" t="s">
        <v>1112</v>
      </c>
      <c r="BI399" t="s">
        <v>1113</v>
      </c>
      <c r="BJ399" t="s">
        <v>1142</v>
      </c>
      <c r="BK399" t="s">
        <v>1248</v>
      </c>
      <c r="BL399" t="s">
        <v>1116</v>
      </c>
      <c r="BM399" t="s">
        <v>1117</v>
      </c>
      <c r="BN399" s="13"/>
      <c r="BO399" t="s">
        <v>973</v>
      </c>
      <c r="BP399" t="s">
        <v>973</v>
      </c>
      <c r="BQ399" t="s">
        <v>973</v>
      </c>
      <c r="BR399" t="s">
        <v>973</v>
      </c>
    </row>
    <row r="400" spans="1:70" x14ac:dyDescent="0.25">
      <c r="A400" t="s">
        <v>50</v>
      </c>
      <c r="B400" t="s">
        <v>51</v>
      </c>
      <c r="C400" t="s">
        <v>52</v>
      </c>
      <c r="D400" s="6"/>
      <c r="E400" s="9" t="str">
        <f>HYPERLINK("http://plants.ensembl.org/Triticum_aestivum/Gene/Summary?g=TRIAE_CS42_1AL_TGACv1_000503_AA0013530","TRIAE_CS42_1AL_TGACv1_000503_AA0013530")</f>
        <v>TRIAE_CS42_1AL_TGACv1_000503_AA0013530</v>
      </c>
      <c r="F400" s="9"/>
      <c r="H400" s="8" t="str">
        <f>HYPERLINK("http://plants.ensembl.org/Brachypodium_distachyon/Gene/Summary?g=Bradi2g20740","Bradi2g20740")</f>
        <v>Bradi2g20740</v>
      </c>
      <c r="I400" s="1" t="s">
        <v>1051</v>
      </c>
      <c r="J400" s="9" t="str">
        <f>HYPERLINK("http://plants.ensembl.org/Oryza_sativa/Gene/Summary?db=otherfeatures;g=LOC_Os05g42150","LOC_Os05g42150")</f>
        <v>LOC_Os05g42150</v>
      </c>
      <c r="L400" s="6"/>
      <c r="M400" s="1" t="s">
        <v>973</v>
      </c>
      <c r="N400" s="1" t="s">
        <v>973</v>
      </c>
      <c r="O400" s="1" t="s">
        <v>973</v>
      </c>
      <c r="P400" s="1">
        <v>1</v>
      </c>
      <c r="Q400" s="1" t="s">
        <v>973</v>
      </c>
      <c r="R400" s="1" t="s">
        <v>973</v>
      </c>
      <c r="S400" s="1"/>
      <c r="T400" s="6"/>
      <c r="U400" s="11">
        <v>6.1906872828415196</v>
      </c>
      <c r="V400" s="11">
        <v>4.9892207698836</v>
      </c>
      <c r="W400" s="11">
        <v>6.568484143268269</v>
      </c>
      <c r="X400" s="11">
        <v>5.8101242978013881</v>
      </c>
      <c r="Y400" s="11">
        <v>5.7878381480392367</v>
      </c>
      <c r="Z400" s="11">
        <v>5.2938915595061102</v>
      </c>
      <c r="AA400" s="11">
        <v>6.8717097856896157</v>
      </c>
      <c r="AB400" s="11">
        <v>4.4713457275365789</v>
      </c>
      <c r="AC400" s="11">
        <v>6.0435340751035165</v>
      </c>
      <c r="AD400" s="11">
        <v>5.3264234946070914</v>
      </c>
      <c r="AE400" s="11">
        <v>6.5952898103874444</v>
      </c>
      <c r="AF400" s="11">
        <v>5.3001420327655477</v>
      </c>
      <c r="AG400" s="11">
        <v>6.3550638503753536</v>
      </c>
      <c r="AH400" s="11">
        <v>4.9283261018035951</v>
      </c>
      <c r="AI400" s="11">
        <v>5.7825221447315913</v>
      </c>
      <c r="AJ400" s="11">
        <v>4.4767597027772812</v>
      </c>
      <c r="AK400" s="6"/>
      <c r="AL400" t="s">
        <v>1105</v>
      </c>
      <c r="AM400">
        <v>0</v>
      </c>
      <c r="AN400" s="6"/>
      <c r="AO400" s="20">
        <v>0.2291</v>
      </c>
      <c r="AP400" s="20">
        <v>-0.1061</v>
      </c>
      <c r="AQ400" s="20">
        <v>-2.7900000000000001E-2</v>
      </c>
      <c r="AR400" s="20">
        <v>0.49559999999999998</v>
      </c>
      <c r="AS400" s="20">
        <v>-0.57130000000000003</v>
      </c>
      <c r="AT400" s="20">
        <v>0.3846</v>
      </c>
      <c r="AU400" s="20">
        <v>1.0938000000000001</v>
      </c>
      <c r="AV400" s="20">
        <v>-8.6999999999999994E-3</v>
      </c>
      <c r="AW400" s="6"/>
      <c r="AX400" s="18">
        <v>0.61219999999999997</v>
      </c>
      <c r="AY400" s="18">
        <v>0.84199999999999997</v>
      </c>
      <c r="AZ400" s="18">
        <v>0.94840000000000002</v>
      </c>
      <c r="BA400" s="18">
        <v>0.26800000000000002</v>
      </c>
      <c r="BB400" s="18">
        <v>0.19020000000000001</v>
      </c>
      <c r="BC400" s="18">
        <v>0.3992</v>
      </c>
      <c r="BD400" s="18">
        <v>1.163E-2</v>
      </c>
      <c r="BE400" s="18">
        <v>0.98550000000000004</v>
      </c>
      <c r="BF400" s="13"/>
      <c r="BG400" t="s">
        <v>1111</v>
      </c>
      <c r="BH400" t="s">
        <v>1112</v>
      </c>
      <c r="BI400" t="s">
        <v>1113</v>
      </c>
      <c r="BJ400" t="s">
        <v>1217</v>
      </c>
      <c r="BK400" t="s">
        <v>1115</v>
      </c>
      <c r="BL400" t="s">
        <v>1116</v>
      </c>
      <c r="BM400" t="s">
        <v>1117</v>
      </c>
      <c r="BN400" s="13"/>
      <c r="BO400" t="s">
        <v>973</v>
      </c>
      <c r="BP400" t="s">
        <v>973</v>
      </c>
      <c r="BQ400" t="s">
        <v>973</v>
      </c>
      <c r="BR400" t="s">
        <v>973</v>
      </c>
    </row>
    <row r="401" spans="1:70" x14ac:dyDescent="0.25">
      <c r="A401" t="s">
        <v>90</v>
      </c>
      <c r="B401" t="s">
        <v>51</v>
      </c>
      <c r="C401" t="s">
        <v>52</v>
      </c>
      <c r="D401" s="6"/>
      <c r="E401" s="9" t="str">
        <f>HYPERLINK("http://plants.ensembl.org/Triticum_aestivum/Gene/Summary?g=TRIAE_CS42_1BL_TGACv1_033296_AA0138580","TRIAE_CS42_1BL_TGACv1_033296_AA0138580")</f>
        <v>TRIAE_CS42_1BL_TGACv1_033296_AA0138580</v>
      </c>
      <c r="H401" s="8" t="str">
        <f>HYPERLINK("http://plants.ensembl.org/Brachypodium_distachyon/Gene/Summary?g=Bradi2g20740","Bradi2g20740")</f>
        <v>Bradi2g20740</v>
      </c>
      <c r="I401" s="1" t="s">
        <v>1051</v>
      </c>
      <c r="J401" s="9" t="str">
        <f>HYPERLINK("http://plants.ensembl.org/Oryza_sativa/Gene/Summary?db=otherfeatures;g=LOC_Os05g42150","LOC_Os05g42150")</f>
        <v>LOC_Os05g42150</v>
      </c>
      <c r="L401" s="6"/>
      <c r="M401" s="1" t="s">
        <v>973</v>
      </c>
      <c r="N401" s="1" t="s">
        <v>973</v>
      </c>
      <c r="O401" s="1" t="s">
        <v>973</v>
      </c>
      <c r="P401" s="1">
        <v>1</v>
      </c>
      <c r="Q401" s="1" t="s">
        <v>973</v>
      </c>
      <c r="R401" s="1" t="s">
        <v>973</v>
      </c>
      <c r="S401" s="1"/>
      <c r="T401" s="6"/>
      <c r="U401" s="11">
        <v>5.7996183729783928</v>
      </c>
      <c r="V401" s="11">
        <v>6.0069666976674663</v>
      </c>
      <c r="W401" s="11">
        <v>6.4044518688643386</v>
      </c>
      <c r="X401" s="11">
        <v>6.2691129614003982</v>
      </c>
      <c r="Y401" s="11">
        <v>5.8769327102426567</v>
      </c>
      <c r="Z401" s="11">
        <v>6.2764575828149827</v>
      </c>
      <c r="AA401" s="11">
        <v>6.6652946967379991</v>
      </c>
      <c r="AB401" s="11">
        <v>5.8210358134620197</v>
      </c>
      <c r="AC401" s="11">
        <v>5.4674305685478704</v>
      </c>
      <c r="AD401" s="11">
        <v>4.6387071706670904</v>
      </c>
      <c r="AE401" s="11">
        <v>5.8271288381550352</v>
      </c>
      <c r="AF401" s="11">
        <v>5.6167331049068094</v>
      </c>
      <c r="AG401" s="11">
        <v>5.5946838953851969</v>
      </c>
      <c r="AH401" s="11">
        <v>5.6296363883533118</v>
      </c>
      <c r="AI401" s="11">
        <v>5.3923563521197089</v>
      </c>
      <c r="AJ401" s="11">
        <v>4.6656807961535911</v>
      </c>
      <c r="AK401" s="6"/>
      <c r="AL401" t="s">
        <v>1077</v>
      </c>
      <c r="AM401">
        <v>0</v>
      </c>
      <c r="AN401" s="6"/>
      <c r="AO401" s="20">
        <v>0.42899999999999999</v>
      </c>
      <c r="AP401" s="20">
        <v>0.96299999999999997</v>
      </c>
      <c r="AQ401" s="20">
        <v>0.5796</v>
      </c>
      <c r="AR401" s="20">
        <v>0.65400000000000003</v>
      </c>
      <c r="AS401" s="20">
        <v>0.28370000000000001</v>
      </c>
      <c r="AT401" s="20">
        <v>0.65620000000000001</v>
      </c>
      <c r="AU401" s="20">
        <v>1.2855000000000001</v>
      </c>
      <c r="AV401" s="20">
        <v>1.1769000000000001</v>
      </c>
      <c r="AW401" s="6"/>
      <c r="AX401" s="18">
        <v>0.28939999999999999</v>
      </c>
      <c r="AY401" s="18">
        <v>3.9480000000000001E-2</v>
      </c>
      <c r="AZ401" s="18">
        <v>0.1206</v>
      </c>
      <c r="BA401" s="18">
        <v>8.4510000000000002E-2</v>
      </c>
      <c r="BB401" s="18">
        <v>0.45140000000000002</v>
      </c>
      <c r="BC401" s="18">
        <v>8.2720000000000002E-2</v>
      </c>
      <c r="BD401" s="18">
        <v>6.1209999999999997E-4</v>
      </c>
      <c r="BE401" s="18">
        <v>2.9129999999999998E-3</v>
      </c>
      <c r="BF401" s="13"/>
      <c r="BG401" t="s">
        <v>1250</v>
      </c>
      <c r="BH401" t="s">
        <v>1112</v>
      </c>
      <c r="BI401" t="s">
        <v>1113</v>
      </c>
      <c r="BJ401" t="s">
        <v>1114</v>
      </c>
      <c r="BK401" t="s">
        <v>1115</v>
      </c>
      <c r="BL401" t="s">
        <v>1116</v>
      </c>
      <c r="BM401" t="s">
        <v>1117</v>
      </c>
      <c r="BN401" s="13"/>
      <c r="BO401" t="s">
        <v>973</v>
      </c>
      <c r="BP401" t="s">
        <v>973</v>
      </c>
      <c r="BQ401" t="s">
        <v>973</v>
      </c>
      <c r="BR401" t="s">
        <v>973</v>
      </c>
    </row>
    <row r="402" spans="1:70" x14ac:dyDescent="0.25">
      <c r="A402" t="s">
        <v>385</v>
      </c>
      <c r="B402" t="s">
        <v>51</v>
      </c>
      <c r="C402" t="s">
        <v>52</v>
      </c>
      <c r="D402" s="6"/>
      <c r="E402" s="9" t="str">
        <f>HYPERLINK("http://plants.ensembl.org/Triticum_aestivum/Gene/Summary?g=TRIAE_CS42_3B_TGACv1_225364_AA0807570","TRIAE_CS42_3B_TGACv1_225364_AA0807570")</f>
        <v>TRIAE_CS42_3B_TGACv1_225364_AA0807570</v>
      </c>
      <c r="F402" s="9" t="str">
        <f>HYPERLINK("http://mar2016-plants.ensembl.org/Triticum_aestivum/Gene/Summary?db=core;g=TRAES3BF056700040CFD","TRAES3BF056700040CFD")</f>
        <v>TRAES3BF056700040CFD</v>
      </c>
      <c r="H402" s="8" t="str">
        <f>HYPERLINK("http://plants.ensembl.org/Brachypodium_distachyon/Gene/Summary?g=Bradi2g50840","Bradi2g50840")</f>
        <v>Bradi2g50840</v>
      </c>
      <c r="I402" s="1" t="s">
        <v>1051</v>
      </c>
      <c r="J402" s="9" t="str">
        <f>HYPERLINK("http://plants.ensembl.org/Oryza_sativa/Gene/Summary?db=otherfeatures;g=LOC_Os01g55940","LOC_Os01g55940")</f>
        <v>LOC_Os01g55940</v>
      </c>
      <c r="L402" s="6"/>
      <c r="M402" s="1" t="s">
        <v>973</v>
      </c>
      <c r="N402" s="1" t="s">
        <v>973</v>
      </c>
      <c r="O402" s="1" t="s">
        <v>973</v>
      </c>
      <c r="P402" s="1">
        <v>1</v>
      </c>
      <c r="Q402" s="1" t="s">
        <v>973</v>
      </c>
      <c r="R402" s="1" t="s">
        <v>973</v>
      </c>
      <c r="S402" s="1"/>
      <c r="T402" s="6"/>
      <c r="U402" s="11">
        <v>9.8788910902792999</v>
      </c>
      <c r="V402" s="11">
        <v>11.383171588419842</v>
      </c>
      <c r="W402" s="11">
        <v>7.8732012845570827</v>
      </c>
      <c r="X402" s="11">
        <v>8.4019815244848246</v>
      </c>
      <c r="Y402" s="11">
        <v>7.7083753333831959</v>
      </c>
      <c r="Z402" s="11">
        <v>8.3687492910979735</v>
      </c>
      <c r="AA402" s="11">
        <v>7.4445707227433777</v>
      </c>
      <c r="AB402" s="11">
        <v>7.5531943401108563</v>
      </c>
      <c r="AC402" s="11">
        <v>6.9789784790357023</v>
      </c>
      <c r="AD402" s="11">
        <v>6.9934917114570894</v>
      </c>
      <c r="AE402" s="11">
        <v>7.3737114250002067</v>
      </c>
      <c r="AF402" s="11">
        <v>7.0977712510098279</v>
      </c>
      <c r="AG402" s="11">
        <v>6.9556258866254712</v>
      </c>
      <c r="AH402" s="11">
        <v>6.1574466488420443</v>
      </c>
      <c r="AI402" s="11">
        <v>6.6371948194558943</v>
      </c>
      <c r="AJ402" s="11">
        <v>6.5743154940022936</v>
      </c>
      <c r="AK402" s="6"/>
      <c r="AL402" t="s">
        <v>1090</v>
      </c>
      <c r="AM402">
        <v>0</v>
      </c>
      <c r="AN402" s="6"/>
      <c r="AO402" s="20">
        <v>2.8931</v>
      </c>
      <c r="AP402" s="20">
        <v>4.3445</v>
      </c>
      <c r="AQ402" s="20">
        <v>0.49630000000000002</v>
      </c>
      <c r="AR402" s="20">
        <v>1.2895000000000001</v>
      </c>
      <c r="AS402" s="20">
        <v>0.74770000000000003</v>
      </c>
      <c r="AT402" s="20">
        <v>2.2014</v>
      </c>
      <c r="AU402" s="20">
        <v>0.80330000000000001</v>
      </c>
      <c r="AV402" s="20">
        <v>0.97460000000000002</v>
      </c>
      <c r="AW402" s="6"/>
      <c r="AX402" s="18">
        <v>4.0320000000000001E-10</v>
      </c>
      <c r="AY402" s="18">
        <v>4.2580000000000002E-20</v>
      </c>
      <c r="AZ402" s="18">
        <v>0.28179999999999999</v>
      </c>
      <c r="BA402" s="18">
        <v>5.2490000000000002E-3</v>
      </c>
      <c r="BB402" s="18">
        <v>0.1053</v>
      </c>
      <c r="BC402" s="18">
        <v>2.3350000000000001E-6</v>
      </c>
      <c r="BD402" s="18">
        <v>8.3169999999999994E-2</v>
      </c>
      <c r="BE402" s="18">
        <v>3.601E-2</v>
      </c>
      <c r="BF402" s="13"/>
      <c r="BG402" t="s">
        <v>1266</v>
      </c>
      <c r="BH402" t="s">
        <v>1132</v>
      </c>
      <c r="BI402" t="s">
        <v>1113</v>
      </c>
      <c r="BJ402" t="s">
        <v>1127</v>
      </c>
      <c r="BK402" t="s">
        <v>1115</v>
      </c>
      <c r="BL402" t="s">
        <v>1116</v>
      </c>
      <c r="BM402" t="s">
        <v>1117</v>
      </c>
      <c r="BN402" s="13"/>
      <c r="BO402" t="s">
        <v>973</v>
      </c>
      <c r="BP402" t="s">
        <v>973</v>
      </c>
      <c r="BQ402" t="s">
        <v>973</v>
      </c>
      <c r="BR402" t="s">
        <v>973</v>
      </c>
    </row>
    <row r="403" spans="1:70" x14ac:dyDescent="0.25">
      <c r="A403" t="s">
        <v>616</v>
      </c>
      <c r="B403" t="s">
        <v>617</v>
      </c>
      <c r="C403" t="s">
        <v>160</v>
      </c>
      <c r="D403" s="6"/>
      <c r="E403" s="9" t="str">
        <f>HYPERLINK("http://plants.ensembl.org/Triticum_aestivum/Gene/Summary?g=TRIAE_CS42_5AL_TGACv1_374079_AA1189780","TRIAE_CS42_5AL_TGACv1_374079_AA1189780")</f>
        <v>TRIAE_CS42_5AL_TGACv1_374079_AA1189780</v>
      </c>
      <c r="F403" s="9" t="str">
        <f>HYPERLINK("http://mar2016-plants.ensembl.org/Triticum_aestivum/Gene/Summary?db=core;g=Traes_5AL_B29005219","Traes_5AL_B29005219")</f>
        <v>Traes_5AL_B29005219</v>
      </c>
      <c r="H403" s="8" t="str">
        <f>HYPERLINK("http://plants.ensembl.org/Brachypodium_distachyon/Gene/Summary?g=Bradi4g08830","Bradi4g08830")</f>
        <v>Bradi4g08830</v>
      </c>
      <c r="I403" s="1" t="s">
        <v>1051</v>
      </c>
      <c r="J403" s="9" t="str">
        <f>HYPERLINK("http://plants.ensembl.org/Oryza_sativa/Gene/Summary?db=otherfeatures;g=LOC_Os09g08130","LOC_Os09g08130")</f>
        <v>LOC_Os09g08130</v>
      </c>
      <c r="K403" s="9" t="str">
        <f>HYPERLINK("http://plants.ensembl.org/Zea_mays/Gene/Summary?db=otherfeatures;g=GRMZM2G106950","GRMZM2G106950")</f>
        <v>GRMZM2G106950</v>
      </c>
      <c r="L403" s="6"/>
      <c r="M403" t="s">
        <v>973</v>
      </c>
      <c r="N403" t="s">
        <v>973</v>
      </c>
      <c r="O403" t="s">
        <v>973</v>
      </c>
      <c r="P403">
        <v>1</v>
      </c>
      <c r="S403" t="s">
        <v>973</v>
      </c>
      <c r="T403" s="6"/>
      <c r="U403" s="11">
        <v>11.055215067482241</v>
      </c>
      <c r="V403" s="11">
        <v>12.751279610498637</v>
      </c>
      <c r="W403" s="11">
        <v>9.3633875001923226</v>
      </c>
      <c r="X403" s="11">
        <v>9.8650418589251299</v>
      </c>
      <c r="Y403" s="11">
        <v>8.8032372632394225</v>
      </c>
      <c r="Z403" s="11">
        <v>9.3072172818078229</v>
      </c>
      <c r="AA403" s="11">
        <v>7.8821700205242902</v>
      </c>
      <c r="AB403" s="11">
        <v>9.6611754240908958</v>
      </c>
      <c r="AC403" s="11">
        <v>3.6530294350095569</v>
      </c>
      <c r="AD403" s="11">
        <v>0.71861369897548444</v>
      </c>
      <c r="AE403" s="11">
        <v>2.4215958491379741</v>
      </c>
      <c r="AF403" s="11">
        <v>0.666726298757507</v>
      </c>
      <c r="AG403" s="11">
        <v>3.4291874435708496</v>
      </c>
      <c r="AH403" s="11">
        <v>2.3494407698650179</v>
      </c>
      <c r="AI403" s="11">
        <v>1.8555379541093522</v>
      </c>
      <c r="AJ403" s="11">
        <v>1.4953370023794255</v>
      </c>
      <c r="AK403" s="6"/>
      <c r="AL403" t="s">
        <v>1077</v>
      </c>
      <c r="AM403">
        <v>982</v>
      </c>
      <c r="AN403" s="6"/>
      <c r="AO403" s="20">
        <v>7.4211</v>
      </c>
      <c r="AP403" s="20">
        <v>12.034599999999999</v>
      </c>
      <c r="AQ403" s="20">
        <v>7.0918999999999999</v>
      </c>
      <c r="AR403" s="20">
        <v>9.6896000000000004</v>
      </c>
      <c r="AS403" s="20">
        <v>5.3813000000000004</v>
      </c>
      <c r="AT403" s="20">
        <v>7.0975999999999999</v>
      </c>
      <c r="AU403" s="20">
        <v>6.2817999999999996</v>
      </c>
      <c r="AV403" s="20">
        <v>8.4967000000000006</v>
      </c>
      <c r="AW403" s="6"/>
      <c r="AX403" s="18">
        <v>2.631E-28</v>
      </c>
      <c r="AY403" s="18">
        <v>1.0270000000000001E-36</v>
      </c>
      <c r="AZ403" s="18">
        <v>3.3139999999999998E-23</v>
      </c>
      <c r="BA403" s="18">
        <v>1.463E-25</v>
      </c>
      <c r="BB403" s="18">
        <v>3.4789999999999999E-16</v>
      </c>
      <c r="BC403" s="18">
        <v>1.716E-22</v>
      </c>
      <c r="BD403" s="18">
        <v>6.7659999999999999E-17</v>
      </c>
      <c r="BE403" s="18">
        <v>5.1760000000000003E-27</v>
      </c>
      <c r="BF403" s="13"/>
      <c r="BG403" t="s">
        <v>1131</v>
      </c>
      <c r="BH403" t="s">
        <v>1132</v>
      </c>
      <c r="BI403" t="s">
        <v>1113</v>
      </c>
      <c r="BJ403" t="s">
        <v>1233</v>
      </c>
      <c r="BK403" t="s">
        <v>1115</v>
      </c>
      <c r="BL403" t="s">
        <v>1116</v>
      </c>
      <c r="BM403" t="s">
        <v>1117</v>
      </c>
      <c r="BN403" s="13"/>
      <c r="BO403" t="s">
        <v>973</v>
      </c>
      <c r="BP403" t="s">
        <v>973</v>
      </c>
      <c r="BQ403" t="s">
        <v>973</v>
      </c>
      <c r="BR403" t="s">
        <v>973</v>
      </c>
    </row>
    <row r="404" spans="1:70" x14ac:dyDescent="0.25">
      <c r="A404" t="s">
        <v>676</v>
      </c>
      <c r="B404" t="s">
        <v>617</v>
      </c>
      <c r="C404" t="s">
        <v>160</v>
      </c>
      <c r="D404" s="6"/>
      <c r="E404" s="9" t="str">
        <f>HYPERLINK("http://plants.ensembl.org/Triticum_aestivum/Gene/Summary?g=TRIAE_CS42_5BL_TGACv1_404243_AA1291930","TRIAE_CS42_5BL_TGACv1_404243_AA1291930")</f>
        <v>TRIAE_CS42_5BL_TGACv1_404243_AA1291930</v>
      </c>
      <c r="F404" s="9" t="str">
        <f>HYPERLINK("http://mar2016-plants.ensembl.org/Triticum_aestivum/Gene/Summary?db=core;g=Traes_5BL_65DDBA449","Traes_5BL_65DDBA449")</f>
        <v>Traes_5BL_65DDBA449</v>
      </c>
      <c r="H404" s="8" t="str">
        <f>HYPERLINK("http://plants.ensembl.org/Brachypodium_distachyon/Gene/Summary?g=Bradi4g08830","Bradi4g08830")</f>
        <v>Bradi4g08830</v>
      </c>
      <c r="I404" s="1" t="s">
        <v>1051</v>
      </c>
      <c r="J404" s="9" t="str">
        <f>HYPERLINK("http://plants.ensembl.org/Oryza_sativa/Gene/Summary?db=otherfeatures;g=LOC_Os09g08130","LOC_Os09g08130")</f>
        <v>LOC_Os09g08130</v>
      </c>
      <c r="K404" s="9" t="str">
        <f>HYPERLINK("http://plants.ensembl.org/Zea_mays/Gene/Summary?db=otherfeatures;g=GRMZM2G106950","GRMZM2G106950")</f>
        <v>GRMZM2G106950</v>
      </c>
      <c r="L404" s="6"/>
      <c r="M404" t="s">
        <v>973</v>
      </c>
      <c r="N404" t="s">
        <v>973</v>
      </c>
      <c r="O404" t="s">
        <v>973</v>
      </c>
      <c r="P404">
        <v>1</v>
      </c>
      <c r="S404" t="s">
        <v>973</v>
      </c>
      <c r="T404" s="6"/>
      <c r="U404" s="11">
        <v>11.855033130873315</v>
      </c>
      <c r="V404" s="11">
        <v>13.750085661850278</v>
      </c>
      <c r="W404" s="11">
        <v>9.8700126343728218</v>
      </c>
      <c r="X404" s="11">
        <v>10.482279140484753</v>
      </c>
      <c r="Y404" s="11">
        <v>10.041801862797598</v>
      </c>
      <c r="Z404" s="11">
        <v>10.32172520163097</v>
      </c>
      <c r="AA404" s="11">
        <v>8.6103494136886685</v>
      </c>
      <c r="AB404" s="11">
        <v>10.022297387445866</v>
      </c>
      <c r="AC404" s="11">
        <v>4.0506613108805647</v>
      </c>
      <c r="AD404" s="11">
        <v>0.97063281676969426</v>
      </c>
      <c r="AE404" s="11">
        <v>3.286940273422517</v>
      </c>
      <c r="AF404" s="11">
        <v>2.1683318142172285</v>
      </c>
      <c r="AG404" s="11">
        <v>3.3268680716523655</v>
      </c>
      <c r="AH404" s="11">
        <v>1.3160105436522742</v>
      </c>
      <c r="AI404" s="11">
        <v>2.3024555387013144</v>
      </c>
      <c r="AJ404" s="11">
        <v>2.6778088898556689</v>
      </c>
      <c r="AK404" s="6"/>
      <c r="AL404" t="s">
        <v>1077</v>
      </c>
      <c r="AM404">
        <v>2677</v>
      </c>
      <c r="AN404" s="6"/>
      <c r="AO404" s="20">
        <v>7.7512999999999996</v>
      </c>
      <c r="AP404" s="20">
        <v>12.6007</v>
      </c>
      <c r="AQ404" s="20">
        <v>6.5827</v>
      </c>
      <c r="AR404" s="20">
        <v>8.3728999999999996</v>
      </c>
      <c r="AS404" s="20">
        <v>6.7058</v>
      </c>
      <c r="AT404" s="20">
        <v>9.3109999999999999</v>
      </c>
      <c r="AU404" s="20">
        <v>6.4313000000000002</v>
      </c>
      <c r="AV404" s="20">
        <v>7.3788</v>
      </c>
      <c r="AW404" s="6"/>
      <c r="AX404" s="18">
        <v>1.076E-28</v>
      </c>
      <c r="AY404" s="18">
        <v>5.9419999999999998E-42</v>
      </c>
      <c r="AZ404" s="18">
        <v>1.7859999999999999E-20</v>
      </c>
      <c r="BA404" s="18">
        <v>5.1349999999999996E-28</v>
      </c>
      <c r="BB404" s="18">
        <v>6.1599999999999996E-22</v>
      </c>
      <c r="BC404" s="18">
        <v>1.496E-27</v>
      </c>
      <c r="BD404" s="18">
        <v>8.3019999999999994E-18</v>
      </c>
      <c r="BE404" s="18">
        <v>4.0569999999999997E-24</v>
      </c>
      <c r="BF404" s="13"/>
      <c r="BG404" t="s">
        <v>1131</v>
      </c>
      <c r="BH404" t="s">
        <v>1132</v>
      </c>
      <c r="BI404" t="s">
        <v>1113</v>
      </c>
      <c r="BJ404" t="s">
        <v>1127</v>
      </c>
      <c r="BK404" t="s">
        <v>1115</v>
      </c>
      <c r="BL404" t="s">
        <v>1116</v>
      </c>
      <c r="BM404" t="s">
        <v>1117</v>
      </c>
      <c r="BN404" s="13"/>
      <c r="BO404" t="s">
        <v>973</v>
      </c>
      <c r="BP404" t="s">
        <v>973</v>
      </c>
      <c r="BQ404" t="s">
        <v>973</v>
      </c>
      <c r="BR404" t="s">
        <v>973</v>
      </c>
    </row>
    <row r="405" spans="1:70" x14ac:dyDescent="0.25">
      <c r="A405" t="s">
        <v>727</v>
      </c>
      <c r="B405" t="s">
        <v>617</v>
      </c>
      <c r="C405" t="s">
        <v>160</v>
      </c>
      <c r="D405" s="6"/>
      <c r="E405" s="9" t="str">
        <f>HYPERLINK("http://plants.ensembl.org/Triticum_aestivum/Gene/Summary?g=TRIAE_CS42_5DL_TGACv1_433357_AA1410770","TRIAE_CS42_5DL_TGACv1_433357_AA1410770")</f>
        <v>TRIAE_CS42_5DL_TGACv1_433357_AA1410770</v>
      </c>
      <c r="F405" s="9" t="str">
        <f>HYPERLINK("http://mar2016-plants.ensembl.org/Triticum_aestivum/Gene/Summary?db=core;g=Traes_5DL_724B74784","Traes_5DL_724B74784")</f>
        <v>Traes_5DL_724B74784</v>
      </c>
      <c r="H405" s="8" t="str">
        <f>HYPERLINK("http://plants.ensembl.org/Brachypodium_distachyon/Gene/Summary?g=Bradi4g08830","Bradi4g08830")</f>
        <v>Bradi4g08830</v>
      </c>
      <c r="I405" s="1" t="s">
        <v>1051</v>
      </c>
      <c r="J405" s="9" t="str">
        <f>HYPERLINK("http://plants.ensembl.org/Oryza_sativa/Gene/Summary?db=otherfeatures;g=LOC_Os09g08130","LOC_Os09g08130")</f>
        <v>LOC_Os09g08130</v>
      </c>
      <c r="K405" s="9" t="str">
        <f>HYPERLINK("http://plants.ensembl.org/Zea_mays/Gene/Summary?db=otherfeatures;g=GRMZM2G106950","GRMZM2G106950")</f>
        <v>GRMZM2G106950</v>
      </c>
      <c r="L405" s="6"/>
      <c r="M405" t="s">
        <v>973</v>
      </c>
      <c r="N405" t="s">
        <v>973</v>
      </c>
      <c r="O405" t="s">
        <v>973</v>
      </c>
      <c r="P405">
        <v>1</v>
      </c>
      <c r="S405" t="s">
        <v>973</v>
      </c>
      <c r="T405" s="6"/>
      <c r="U405" s="11">
        <v>11.279152919957486</v>
      </c>
      <c r="V405" s="11">
        <v>12.364008933653651</v>
      </c>
      <c r="W405" s="11">
        <v>9.4986444695573713</v>
      </c>
      <c r="X405" s="11">
        <v>9.264054623396385</v>
      </c>
      <c r="Y405" s="11">
        <v>9.1318955348268105</v>
      </c>
      <c r="Z405" s="11">
        <v>9.370734696791045</v>
      </c>
      <c r="AA405" s="11">
        <v>7.9633644919411015</v>
      </c>
      <c r="AB405" s="11">
        <v>9.2022194288059431</v>
      </c>
      <c r="AC405" s="11">
        <v>3.469647243444792</v>
      </c>
      <c r="AD405" s="11">
        <v>0.39407506562573752</v>
      </c>
      <c r="AE405" s="11">
        <v>2.1313809555981225</v>
      </c>
      <c r="AF405" s="11">
        <v>0.25801633106716926</v>
      </c>
      <c r="AG405" s="11">
        <v>2.8811098809378586</v>
      </c>
      <c r="AH405" s="11">
        <v>0</v>
      </c>
      <c r="AI405" s="11">
        <v>1.3690290255135995</v>
      </c>
      <c r="AJ405" s="11">
        <v>0.6060631451521189</v>
      </c>
      <c r="AK405" s="6"/>
      <c r="AL405" t="s">
        <v>1077</v>
      </c>
      <c r="AM405">
        <v>1151</v>
      </c>
      <c r="AN405" s="6"/>
      <c r="AO405" s="20">
        <v>7.8762999999999996</v>
      </c>
      <c r="AP405" s="20">
        <v>12.178000000000001</v>
      </c>
      <c r="AQ405" s="20">
        <v>7.5808999999999997</v>
      </c>
      <c r="AR405" s="20">
        <v>10.0557</v>
      </c>
      <c r="AS405" s="20">
        <v>6.3143000000000002</v>
      </c>
      <c r="AT405" s="20">
        <v>10.836600000000001</v>
      </c>
      <c r="AU405" s="20">
        <v>7.0423</v>
      </c>
      <c r="AV405" s="20">
        <v>9.4949999999999992</v>
      </c>
      <c r="AW405" s="6"/>
      <c r="AX405" s="18">
        <v>9.5760000000000008E-34</v>
      </c>
      <c r="AY405" s="18">
        <v>6.9529999999999997E-34</v>
      </c>
      <c r="AZ405" s="18">
        <v>1.213E-26</v>
      </c>
      <c r="BA405" s="18">
        <v>5.5379999999999999E-21</v>
      </c>
      <c r="BB405" s="18">
        <v>1.066E-22</v>
      </c>
      <c r="BC405" s="18">
        <v>2.6969999999999999E-20</v>
      </c>
      <c r="BD405" s="18">
        <v>4.8099999999999998E-19</v>
      </c>
      <c r="BE405" s="18">
        <v>7.5620000000000004E-23</v>
      </c>
      <c r="BF405" s="13"/>
      <c r="BG405" t="s">
        <v>1131</v>
      </c>
      <c r="BH405" t="s">
        <v>1132</v>
      </c>
      <c r="BI405" t="s">
        <v>1113</v>
      </c>
      <c r="BJ405" t="s">
        <v>1114</v>
      </c>
      <c r="BK405" t="s">
        <v>1115</v>
      </c>
      <c r="BL405" t="s">
        <v>1116</v>
      </c>
      <c r="BM405" t="s">
        <v>1117</v>
      </c>
      <c r="BN405" s="13"/>
      <c r="BO405" t="s">
        <v>973</v>
      </c>
      <c r="BP405" t="s">
        <v>973</v>
      </c>
      <c r="BQ405" t="s">
        <v>973</v>
      </c>
      <c r="BR405" t="s">
        <v>973</v>
      </c>
    </row>
    <row r="406" spans="1:70" x14ac:dyDescent="0.25">
      <c r="A406" t="s">
        <v>930</v>
      </c>
      <c r="B406" t="s">
        <v>887</v>
      </c>
      <c r="C406" t="s">
        <v>888</v>
      </c>
      <c r="D406" s="6"/>
      <c r="E406" s="9" t="str">
        <f>HYPERLINK("http://plants.ensembl.org/Triticum_aestivum/Gene/Summary?g=TRIAE_CS42_7BL_TGACv1_577750_AA1882530","TRIAE_CS42_7BL_TGACv1_577750_AA1882530")</f>
        <v>TRIAE_CS42_7BL_TGACv1_577750_AA1882530</v>
      </c>
      <c r="F406" s="9" t="str">
        <f>HYPERLINK("http://mar2016-plants.ensembl.org/Triticum_aestivum/Gene/Summary?db=core;g=Traes_7BL_E14B151E3","Traes_7BL_E14B151E3")</f>
        <v>Traes_7BL_E14B151E3</v>
      </c>
      <c r="H406" s="8" t="str">
        <f>HYPERLINK("http://plants.ensembl.org/Brachypodium_distachyon/Gene/Summary?g=Bradi5g05430","Bradi5g05430")</f>
        <v>Bradi5g05430</v>
      </c>
      <c r="I406" s="1" t="s">
        <v>1051</v>
      </c>
      <c r="J406" s="9" t="str">
        <f>HYPERLINK("http://plants.ensembl.org/Oryza_sativa/Gene/Summary?db=otherfeatures;g=LOC_Os08g23150","LOC_Os08g23150")</f>
        <v>LOC_Os08g23150</v>
      </c>
      <c r="K406" s="9" t="str">
        <f>HYPERLINK("http://plants.ensembl.org/Zea_mays/Gene/Summary?db=otherfeatures;g=GRMZM2G145870","GRMZM2G145870")</f>
        <v>GRMZM2G145870</v>
      </c>
      <c r="L406" s="6"/>
      <c r="M406" t="s">
        <v>973</v>
      </c>
      <c r="N406" t="s">
        <v>973</v>
      </c>
      <c r="O406" t="s">
        <v>973</v>
      </c>
      <c r="P406">
        <v>1</v>
      </c>
      <c r="S406" t="s">
        <v>973</v>
      </c>
      <c r="T406" s="6"/>
      <c r="U406" s="11">
        <v>10.753921959379307</v>
      </c>
      <c r="V406" s="11">
        <v>11.096930883849764</v>
      </c>
      <c r="W406" s="11">
        <v>9.2726355386395412</v>
      </c>
      <c r="X406" s="11">
        <v>9.1992064197808716</v>
      </c>
      <c r="Y406" s="11">
        <v>9.4960328550664617</v>
      </c>
      <c r="Z406" s="11">
        <v>9.6614486744821999</v>
      </c>
      <c r="AA406" s="11">
        <v>8.7150733412702373</v>
      </c>
      <c r="AB406" s="11">
        <v>9.4637764482426245</v>
      </c>
      <c r="AC406" s="11">
        <v>7.5649593571777753</v>
      </c>
      <c r="AD406" s="11">
        <v>7.563623391653806</v>
      </c>
      <c r="AE406" s="11">
        <v>7.2454421033188936</v>
      </c>
      <c r="AF406" s="11">
        <v>7.6862754678788781</v>
      </c>
      <c r="AG406" s="11">
        <v>7.1781615418980511</v>
      </c>
      <c r="AH406" s="11">
        <v>7.9044830943569444</v>
      </c>
      <c r="AI406" s="11">
        <v>7.3530312287873532</v>
      </c>
      <c r="AJ406" s="11">
        <v>7.5630800636795801</v>
      </c>
      <c r="AK406" s="6"/>
      <c r="AL406" t="s">
        <v>1077</v>
      </c>
      <c r="AM406">
        <v>772</v>
      </c>
      <c r="AN406" s="6"/>
      <c r="AO406" s="20">
        <v>3.1846999999999999</v>
      </c>
      <c r="AP406" s="20">
        <v>3.5571000000000002</v>
      </c>
      <c r="AQ406" s="20">
        <v>2.0263</v>
      </c>
      <c r="AR406" s="20">
        <v>1.5185</v>
      </c>
      <c r="AS406" s="20">
        <v>2.3205</v>
      </c>
      <c r="AT406" s="20">
        <v>1.7565999999999999</v>
      </c>
      <c r="AU406" s="20">
        <v>1.3642000000000001</v>
      </c>
      <c r="AV406" s="20">
        <v>1.9012</v>
      </c>
      <c r="AW406" s="6"/>
      <c r="AX406" s="18">
        <v>1.8660000000000001E-40</v>
      </c>
      <c r="AY406" s="18">
        <v>3.8929999999999999E-45</v>
      </c>
      <c r="AZ406" s="18">
        <v>2.5749999999999999E-17</v>
      </c>
      <c r="BA406" s="18">
        <v>1.9090000000000001E-10</v>
      </c>
      <c r="BB406" s="18">
        <v>1.3689999999999999E-22</v>
      </c>
      <c r="BC406" s="18">
        <v>1.198E-13</v>
      </c>
      <c r="BD406" s="18">
        <v>1.152E-8</v>
      </c>
      <c r="BE406" s="18">
        <v>1.2949999999999999E-15</v>
      </c>
      <c r="BF406" s="13"/>
      <c r="BG406" t="s">
        <v>1131</v>
      </c>
      <c r="BH406" t="s">
        <v>1132</v>
      </c>
      <c r="BI406" t="s">
        <v>1113</v>
      </c>
      <c r="BJ406" t="s">
        <v>1114</v>
      </c>
      <c r="BK406" t="s">
        <v>1115</v>
      </c>
      <c r="BL406" t="s">
        <v>1116</v>
      </c>
      <c r="BM406" t="s">
        <v>1117</v>
      </c>
      <c r="BN406" s="13"/>
      <c r="BO406" t="s">
        <v>973</v>
      </c>
      <c r="BP406" t="s">
        <v>973</v>
      </c>
      <c r="BQ406" t="s">
        <v>973</v>
      </c>
      <c r="BR406" t="s">
        <v>973</v>
      </c>
    </row>
    <row r="407" spans="1:70" x14ac:dyDescent="0.25">
      <c r="A407" t="s">
        <v>961</v>
      </c>
      <c r="B407" t="s">
        <v>887</v>
      </c>
      <c r="C407" t="s">
        <v>888</v>
      </c>
      <c r="D407" s="6"/>
      <c r="H407" s="8" t="str">
        <f>HYPERLINK("http://plants.ensembl.org/Brachypodium_distachyon/Gene/Summary?g=Bradi5g05430","Bradi5g05430")</f>
        <v>Bradi5g05430</v>
      </c>
      <c r="I407" s="1" t="s">
        <v>1051</v>
      </c>
      <c r="J407" s="9" t="str">
        <f>HYPERLINK("http://plants.ensembl.org/Oryza_sativa/Gene/Summary?db=otherfeatures;g=LOC_Os08g23150","LOC_Os08g23150")</f>
        <v>LOC_Os08g23150</v>
      </c>
      <c r="K407" s="9" t="str">
        <f>HYPERLINK("http://plants.ensembl.org/Zea_mays/Gene/Summary?db=otherfeatures;g=GRMZM2G145870","GRMZM2G145870")</f>
        <v>GRMZM2G145870</v>
      </c>
      <c r="L407" s="6"/>
      <c r="M407" t="s">
        <v>973</v>
      </c>
      <c r="N407" t="s">
        <v>973</v>
      </c>
      <c r="O407" t="s">
        <v>973</v>
      </c>
      <c r="P407">
        <v>1</v>
      </c>
      <c r="S407" t="s">
        <v>973</v>
      </c>
      <c r="T407" s="6"/>
      <c r="U407" s="11">
        <v>10.040482569837572</v>
      </c>
      <c r="V407" s="11">
        <v>10.481088333994791</v>
      </c>
      <c r="W407" s="11">
        <v>9.0947029380038309</v>
      </c>
      <c r="X407" s="11">
        <v>8.9196707018994967</v>
      </c>
      <c r="Y407" s="11">
        <v>9.0980197094280992</v>
      </c>
      <c r="Z407" s="11">
        <v>9.1902286545224996</v>
      </c>
      <c r="AA407" s="11">
        <v>8.4801215671868562</v>
      </c>
      <c r="AB407" s="11">
        <v>9.2190887988691408</v>
      </c>
      <c r="AC407" s="11">
        <v>6.7480295585844701</v>
      </c>
      <c r="AD407" s="11">
        <v>6.3641819413543237</v>
      </c>
      <c r="AE407" s="11">
        <v>6.5859920572301354</v>
      </c>
      <c r="AF407" s="11">
        <v>6.4020627006838762</v>
      </c>
      <c r="AG407" s="11">
        <v>6.50015458547918</v>
      </c>
      <c r="AH407" s="11">
        <v>6.2001322328053954</v>
      </c>
      <c r="AI407" s="11">
        <v>6.7704912326463944</v>
      </c>
      <c r="AJ407" s="11">
        <v>6.2672860888442443</v>
      </c>
      <c r="AK407" s="6"/>
      <c r="AL407" t="s">
        <v>1077</v>
      </c>
      <c r="AM407" s="12">
        <v>4855</v>
      </c>
      <c r="AN407" s="6"/>
      <c r="AO407" s="20">
        <v>3.3060999999999998</v>
      </c>
      <c r="AP407" s="20">
        <v>4.2130000000000001</v>
      </c>
      <c r="AQ407" s="20">
        <v>2.5123000000000002</v>
      </c>
      <c r="AR407" s="20">
        <v>2.5293000000000001</v>
      </c>
      <c r="AS407" s="20">
        <v>2.6053999999999999</v>
      </c>
      <c r="AT407" s="20">
        <v>2.9969999999999999</v>
      </c>
      <c r="AU407" s="20">
        <v>1.7163999999999999</v>
      </c>
      <c r="AV407" s="20">
        <v>2.9580000000000002</v>
      </c>
      <c r="AW407" s="6"/>
      <c r="AX407" s="18">
        <v>7.6800000000000007E-37</v>
      </c>
      <c r="AY407" s="18">
        <v>3.172E-49</v>
      </c>
      <c r="AZ407" s="18">
        <v>3.0869999999999998E-22</v>
      </c>
      <c r="BA407" s="18">
        <v>5.7779999999999999E-22</v>
      </c>
      <c r="BB407" s="18">
        <v>2.862E-24</v>
      </c>
      <c r="BC407" s="18">
        <v>8.1569999999999995E-30</v>
      </c>
      <c r="BD407" s="18">
        <v>2.8530000000000001E-11</v>
      </c>
      <c r="BE407" s="18">
        <v>1.165E-29</v>
      </c>
      <c r="BF407" s="13"/>
      <c r="BG407" t="s">
        <v>1131</v>
      </c>
      <c r="BH407" t="s">
        <v>1186</v>
      </c>
      <c r="BI407" t="s">
        <v>1113</v>
      </c>
      <c r="BJ407" t="s">
        <v>1114</v>
      </c>
      <c r="BK407" t="s">
        <v>1115</v>
      </c>
      <c r="BL407" t="s">
        <v>1116</v>
      </c>
      <c r="BM407" t="s">
        <v>1117</v>
      </c>
      <c r="BN407" s="13"/>
      <c r="BO407" t="s">
        <v>973</v>
      </c>
      <c r="BP407" t="s">
        <v>973</v>
      </c>
      <c r="BQ407" t="s">
        <v>973</v>
      </c>
      <c r="BR407" t="s">
        <v>973</v>
      </c>
    </row>
    <row r="408" spans="1:70" x14ac:dyDescent="0.25">
      <c r="A408" t="s">
        <v>347</v>
      </c>
      <c r="B408" t="s">
        <v>348</v>
      </c>
      <c r="C408" t="s">
        <v>349</v>
      </c>
      <c r="D408" s="6"/>
      <c r="E408" s="9" t="str">
        <f>HYPERLINK("http://plants.ensembl.org/Triticum_aestivum/Gene/Summary?g=TRIAE_CS42_3AL_TGACv1_194802_AA0639840","TRIAE_CS42_3AL_TGACv1_194802_AA0639840")</f>
        <v>TRIAE_CS42_3AL_TGACv1_194802_AA0639840</v>
      </c>
      <c r="H408" s="1" t="s">
        <v>1051</v>
      </c>
      <c r="I408" s="1" t="s">
        <v>1051</v>
      </c>
      <c r="J408" s="1" t="s">
        <v>1051</v>
      </c>
      <c r="L408" s="6"/>
      <c r="M408" s="1" t="s">
        <v>973</v>
      </c>
      <c r="N408" s="1">
        <v>1</v>
      </c>
      <c r="O408" s="1" t="s">
        <v>973</v>
      </c>
      <c r="P408" s="1" t="s">
        <v>973</v>
      </c>
      <c r="Q408" s="1" t="s">
        <v>973</v>
      </c>
      <c r="R408" s="1" t="s">
        <v>973</v>
      </c>
      <c r="S408" s="1"/>
      <c r="T408" s="6"/>
      <c r="U408" s="11">
        <v>7.6839453024161335</v>
      </c>
      <c r="V408" s="11">
        <v>7.7110476661136511</v>
      </c>
      <c r="W408" s="11">
        <v>4.9097587059156913</v>
      </c>
      <c r="X408" s="11">
        <v>4.8542799677658124</v>
      </c>
      <c r="Y408" s="11">
        <v>5.7283804104079286</v>
      </c>
      <c r="Z408" s="11">
        <v>5.1585188069242731</v>
      </c>
      <c r="AA408" s="11">
        <v>4.3797179886285091</v>
      </c>
      <c r="AB408" s="11">
        <v>5.1712308507811962</v>
      </c>
      <c r="AC408" s="11">
        <v>3.8715808385913149</v>
      </c>
      <c r="AD408" s="11">
        <v>4.6041326210868494</v>
      </c>
      <c r="AE408" s="11">
        <v>3.2019370043635882</v>
      </c>
      <c r="AF408" s="11">
        <v>3.4254234965512804</v>
      </c>
      <c r="AG408" s="11">
        <v>3.975724944475441</v>
      </c>
      <c r="AH408" s="11">
        <v>3.6537976137417694</v>
      </c>
      <c r="AI408" s="11">
        <v>3.3486290208592298</v>
      </c>
      <c r="AJ408" s="11">
        <v>3.3943906652440803</v>
      </c>
      <c r="AK408" s="6"/>
      <c r="AL408" t="s">
        <v>1077</v>
      </c>
      <c r="AM408">
        <v>2</v>
      </c>
      <c r="AN408" s="6"/>
      <c r="AO408" s="20">
        <v>3.9268000000000001</v>
      </c>
      <c r="AP408" s="20">
        <v>3.6238999999999999</v>
      </c>
      <c r="AQ408" s="20">
        <v>1.8206</v>
      </c>
      <c r="AR408" s="20">
        <v>1.5134000000000001</v>
      </c>
      <c r="AS408" s="20">
        <v>1.8003</v>
      </c>
      <c r="AT408" s="20">
        <v>1.5424</v>
      </c>
      <c r="AU408" s="20">
        <v>1.0981000000000001</v>
      </c>
      <c r="AV408" s="20">
        <v>1.8559000000000001</v>
      </c>
      <c r="AW408" s="6"/>
      <c r="AX408" s="18">
        <v>4.8200000000000004E-22</v>
      </c>
      <c r="AY408" s="18">
        <v>2.6609999999999998E-16</v>
      </c>
      <c r="AZ408" s="18">
        <v>3.7790000000000002E-5</v>
      </c>
      <c r="BA408" s="18">
        <v>5.5940000000000004E-4</v>
      </c>
      <c r="BB408" s="18">
        <v>3.0149999999999999E-6</v>
      </c>
      <c r="BC408" s="18">
        <v>2.6889999999999998E-4</v>
      </c>
      <c r="BD408" s="18">
        <v>1.166E-2</v>
      </c>
      <c r="BE408" s="18">
        <v>1.5500000000000001E-5</v>
      </c>
      <c r="BF408" s="13"/>
      <c r="BG408" t="s">
        <v>1191</v>
      </c>
      <c r="BH408" t="s">
        <v>1132</v>
      </c>
      <c r="BI408" t="s">
        <v>1113</v>
      </c>
      <c r="BJ408" t="s">
        <v>1114</v>
      </c>
      <c r="BK408" t="s">
        <v>1115</v>
      </c>
      <c r="BL408" t="s">
        <v>1116</v>
      </c>
      <c r="BM408" t="s">
        <v>1117</v>
      </c>
      <c r="BN408" s="13"/>
      <c r="BO408" t="s">
        <v>973</v>
      </c>
      <c r="BP408" t="s">
        <v>973</v>
      </c>
      <c r="BQ408">
        <v>1</v>
      </c>
      <c r="BR408" t="s">
        <v>973</v>
      </c>
    </row>
    <row r="409" spans="1:70" x14ac:dyDescent="0.25">
      <c r="A409" t="s">
        <v>436</v>
      </c>
      <c r="B409" t="s">
        <v>437</v>
      </c>
      <c r="C409" t="s">
        <v>349</v>
      </c>
      <c r="D409" s="6"/>
      <c r="E409" s="9" t="str">
        <f>HYPERLINK("http://plants.ensembl.org/Triticum_aestivum/Gene/Summary?g=TRIAE_CS42_3DL_TGACv1_252600_AA0890980","TRIAE_CS42_3DL_TGACv1_252600_AA0890980")</f>
        <v>TRIAE_CS42_3DL_TGACv1_252600_AA0890980</v>
      </c>
      <c r="F409" s="9" t="str">
        <f>HYPERLINK("http://mar2016-plants.ensembl.org/Triticum_aestivum/Gene/Summary?db=core;g=Traes_3DL_EC931DCC3","Traes_3DL_EC931DCC3")</f>
        <v>Traes_3DL_EC931DCC3</v>
      </c>
      <c r="H409" s="1" t="s">
        <v>1051</v>
      </c>
      <c r="I409" s="1" t="s">
        <v>1051</v>
      </c>
      <c r="J409" s="1" t="s">
        <v>1051</v>
      </c>
      <c r="L409" s="6"/>
      <c r="M409" s="1" t="s">
        <v>973</v>
      </c>
      <c r="N409" s="1">
        <v>1</v>
      </c>
      <c r="O409" s="1" t="s">
        <v>973</v>
      </c>
      <c r="P409" s="1" t="s">
        <v>973</v>
      </c>
      <c r="Q409" s="1" t="s">
        <v>973</v>
      </c>
      <c r="R409" s="1" t="s">
        <v>973</v>
      </c>
      <c r="S409" s="1"/>
      <c r="T409" s="6"/>
      <c r="U409" s="11">
        <v>3.3182397026958226</v>
      </c>
      <c r="V409" s="11">
        <v>0</v>
      </c>
      <c r="W409" s="11">
        <v>4.056791594377481</v>
      </c>
      <c r="X409" s="11">
        <v>2.1662762504555038</v>
      </c>
      <c r="Y409" s="11">
        <v>5.7055761758727401</v>
      </c>
      <c r="Z409" s="11">
        <v>3.5802942496530443</v>
      </c>
      <c r="AA409" s="11">
        <v>5.9335797195347491</v>
      </c>
      <c r="AB409" s="11">
        <v>4.1270994608441862</v>
      </c>
      <c r="AC409" s="11">
        <v>7.7105380697587975</v>
      </c>
      <c r="AD409" s="11">
        <v>6.2949496826163021</v>
      </c>
      <c r="AE409" s="11">
        <v>5.4171954187529421</v>
      </c>
      <c r="AF409" s="11">
        <v>5.0154455321918237</v>
      </c>
      <c r="AG409" s="11">
        <v>7.2885508225827174</v>
      </c>
      <c r="AH409" s="11">
        <v>6.5802635932085733</v>
      </c>
      <c r="AI409" s="11">
        <v>6.6867792345450123</v>
      </c>
      <c r="AJ409" s="11">
        <v>5.297722117220963</v>
      </c>
      <c r="AK409" s="6"/>
      <c r="AL409" t="s">
        <v>1079</v>
      </c>
      <c r="AM409">
        <v>0</v>
      </c>
      <c r="AN409" s="6"/>
      <c r="AO409" s="20">
        <v>-4.6920999999999999</v>
      </c>
      <c r="AP409" s="20">
        <v>-6.0660999999999996</v>
      </c>
      <c r="AQ409" s="20">
        <v>-1.3989</v>
      </c>
      <c r="AR409" s="20">
        <v>-3.1132</v>
      </c>
      <c r="AS409" s="20">
        <v>-1.5806</v>
      </c>
      <c r="AT409" s="20">
        <v>-3.0928</v>
      </c>
      <c r="AU409" s="20">
        <v>-0.76590000000000003</v>
      </c>
      <c r="AV409" s="20">
        <v>-1.2076</v>
      </c>
      <c r="AW409" s="6"/>
      <c r="AX409" s="18">
        <v>6.4760000000000004E-17</v>
      </c>
      <c r="AY409" s="18">
        <v>5.0600000000000003E-8</v>
      </c>
      <c r="AZ409" s="18">
        <v>1.9629999999999999E-3</v>
      </c>
      <c r="BA409" s="18">
        <v>6.8369999999999996E-8</v>
      </c>
      <c r="BB409" s="18">
        <v>1.518E-4</v>
      </c>
      <c r="BC409" s="18">
        <v>1.939E-11</v>
      </c>
      <c r="BD409" s="18">
        <v>6.5070000000000003E-2</v>
      </c>
      <c r="BE409" s="18">
        <v>8.6490000000000004E-3</v>
      </c>
      <c r="BF409" s="13"/>
      <c r="BG409" t="s">
        <v>1243</v>
      </c>
      <c r="BH409" t="s">
        <v>1112</v>
      </c>
      <c r="BI409" t="s">
        <v>1294</v>
      </c>
      <c r="BJ409" t="s">
        <v>1114</v>
      </c>
      <c r="BK409" t="s">
        <v>1297</v>
      </c>
      <c r="BL409" t="s">
        <v>1116</v>
      </c>
      <c r="BM409" t="s">
        <v>1166</v>
      </c>
      <c r="BN409" s="13"/>
      <c r="BO409" t="s">
        <v>973</v>
      </c>
      <c r="BP409" t="s">
        <v>973</v>
      </c>
      <c r="BQ409" t="s">
        <v>973</v>
      </c>
      <c r="BR409" t="s">
        <v>973</v>
      </c>
    </row>
    <row r="410" spans="1:70" x14ac:dyDescent="0.25">
      <c r="A410" t="s">
        <v>754</v>
      </c>
      <c r="B410" t="s">
        <v>755</v>
      </c>
      <c r="C410" t="s">
        <v>349</v>
      </c>
      <c r="D410" s="6"/>
      <c r="E410" s="9" t="str">
        <f>HYPERLINK("http://plants.ensembl.org/Triticum_aestivum/Gene/Summary?g=TRIAE_CS42_5DL_TGACv1_434429_AA1435810","TRIAE_CS42_5DL_TGACv1_434429_AA1435810")</f>
        <v>TRIAE_CS42_5DL_TGACv1_434429_AA1435810</v>
      </c>
      <c r="F410" s="9" t="str">
        <f>HYPERLINK("http://mar2016-plants.ensembl.org/Triticum_aestivum/Gene/Summary?db=core;g=Traes_5DL_F53C062DC","Traes_5DL_F53C062DC")</f>
        <v>Traes_5DL_F53C062DC</v>
      </c>
      <c r="H410" s="1" t="s">
        <v>1051</v>
      </c>
      <c r="I410" s="1" t="s">
        <v>1051</v>
      </c>
      <c r="J410" s="1" t="s">
        <v>1051</v>
      </c>
      <c r="L410" s="6"/>
      <c r="M410" s="1" t="s">
        <v>973</v>
      </c>
      <c r="N410" s="1">
        <v>1</v>
      </c>
      <c r="O410" s="1" t="s">
        <v>973</v>
      </c>
      <c r="P410" s="1" t="s">
        <v>973</v>
      </c>
      <c r="Q410" s="1" t="s">
        <v>973</v>
      </c>
      <c r="R410" s="1" t="s">
        <v>973</v>
      </c>
      <c r="S410" s="1"/>
      <c r="T410" s="6"/>
      <c r="U410" s="11">
        <v>8.6486344090766991</v>
      </c>
      <c r="V410" s="11">
        <v>7.7605951025161692</v>
      </c>
      <c r="W410" s="11">
        <v>0</v>
      </c>
      <c r="X410" s="11">
        <v>0.33552136748971695</v>
      </c>
      <c r="Y410" s="11">
        <v>9.3691092409510173</v>
      </c>
      <c r="Z410" s="11">
        <v>8.8469042441618644</v>
      </c>
      <c r="AA410" s="11">
        <v>0</v>
      </c>
      <c r="AB410" s="11">
        <v>0</v>
      </c>
      <c r="AC410" s="11">
        <v>4.8368936274097436</v>
      </c>
      <c r="AD410" s="11">
        <v>5.8237408698463726</v>
      </c>
      <c r="AE410" s="11">
        <v>0</v>
      </c>
      <c r="AF410" s="11">
        <v>0</v>
      </c>
      <c r="AG410" s="11">
        <v>4.9226751784019775</v>
      </c>
      <c r="AH410" s="11">
        <v>4.5633249298313308</v>
      </c>
      <c r="AI410" s="11">
        <v>0</v>
      </c>
      <c r="AJ410" s="11">
        <v>0</v>
      </c>
      <c r="AK410" s="6"/>
      <c r="AL410" t="s">
        <v>1098</v>
      </c>
      <c r="AM410">
        <v>0</v>
      </c>
      <c r="AN410" s="6"/>
      <c r="AO410" s="20">
        <v>3.8595000000000002</v>
      </c>
      <c r="AP410" s="20">
        <v>1.6665000000000001</v>
      </c>
      <c r="AQ410" s="20">
        <v>0</v>
      </c>
      <c r="AR410" s="20">
        <v>0.81510000000000005</v>
      </c>
      <c r="AS410" s="20">
        <v>4.4729999999999999</v>
      </c>
      <c r="AT410" s="20">
        <v>4.33</v>
      </c>
      <c r="AU410" s="20">
        <v>0</v>
      </c>
      <c r="AV410" s="20">
        <v>0</v>
      </c>
      <c r="AW410" s="6"/>
      <c r="AX410" s="18">
        <v>1.618E-26</v>
      </c>
      <c r="AY410" s="18">
        <v>1.0879999999999999E-5</v>
      </c>
      <c r="AZ410" s="18">
        <v>1</v>
      </c>
      <c r="BA410" s="18">
        <v>0.5796</v>
      </c>
      <c r="BB410" s="18">
        <v>6.3950000000000005E-39</v>
      </c>
      <c r="BC410" s="18">
        <v>1.174E-32</v>
      </c>
      <c r="BD410" s="18">
        <v>1</v>
      </c>
      <c r="BE410" s="18">
        <v>1</v>
      </c>
      <c r="BF410" s="13"/>
      <c r="BG410" t="s">
        <v>1308</v>
      </c>
      <c r="BH410" t="s">
        <v>1410</v>
      </c>
      <c r="BI410" t="s">
        <v>1113</v>
      </c>
      <c r="BJ410" t="s">
        <v>1114</v>
      </c>
      <c r="BK410" t="s">
        <v>1115</v>
      </c>
      <c r="BL410" t="s">
        <v>1168</v>
      </c>
      <c r="BM410" t="s">
        <v>1117</v>
      </c>
      <c r="BN410" s="13"/>
      <c r="BO410" t="s">
        <v>973</v>
      </c>
      <c r="BP410" t="s">
        <v>973</v>
      </c>
      <c r="BQ410" t="s">
        <v>973</v>
      </c>
      <c r="BR410" t="s">
        <v>973</v>
      </c>
    </row>
    <row r="411" spans="1:70" x14ac:dyDescent="0.25">
      <c r="A411" t="s">
        <v>148</v>
      </c>
      <c r="B411" t="s">
        <v>149</v>
      </c>
      <c r="C411" t="s">
        <v>150</v>
      </c>
      <c r="D411" s="6"/>
      <c r="E411" s="9" t="str">
        <f>HYPERLINK("http://plants.ensembl.org/Triticum_aestivum/Gene/Summary?g=TRIAE_CS42_2AL_TGACv1_094403_AA0297090","TRIAE_CS42_2AL_TGACv1_094403_AA0297090")</f>
        <v>TRIAE_CS42_2AL_TGACv1_094403_AA0297090</v>
      </c>
      <c r="F411" s="9" t="str">
        <f>HYPERLINK("http://mar2016-plants.ensembl.org/Triticum_aestivum/Gene/Summary?db=core;g=Traes_2AL_6CBE19B87","Traes_2AL_6CBE19B87")</f>
        <v>Traes_2AL_6CBE19B87</v>
      </c>
      <c r="G411" t="s">
        <v>983</v>
      </c>
      <c r="H411" s="8" t="str">
        <f>HYPERLINK("http://plants.ensembl.org/Brachypodium_distachyon/Gene/Summary?g=Bradi5g08650","Bradi5g08650")</f>
        <v>Bradi5g08650</v>
      </c>
      <c r="I411" s="8" t="str">
        <f>HYPERLINK("http://plants.ensembl.org/Arabidopsis_thaliana/Gene/Summary?g=AT5G13220","AT5G13220")</f>
        <v>AT5G13220</v>
      </c>
      <c r="J411" s="9" t="str">
        <f>HYPERLINK("http://plants.ensembl.org/Oryza_sativa/Gene/Summary?db=otherfeatures;g=LOC_Os04g32480","LOC_Os04g32480")</f>
        <v>LOC_Os04g32480</v>
      </c>
      <c r="K411" s="9" t="str">
        <f>HYPERLINK("http://plants.ensembl.org/Zea_mays/Gene/Summary?db=otherfeatures;g=GRMZM2G145407","GRMZM2G145407")</f>
        <v>GRMZM2G145407</v>
      </c>
      <c r="L411" s="6"/>
      <c r="M411" t="s">
        <v>973</v>
      </c>
      <c r="N411">
        <v>1</v>
      </c>
      <c r="O411">
        <v>1</v>
      </c>
      <c r="P411" t="s">
        <v>973</v>
      </c>
      <c r="S411">
        <v>1</v>
      </c>
      <c r="T411" s="6"/>
      <c r="U411" s="11">
        <v>9.5230658790178975</v>
      </c>
      <c r="V411" s="11">
        <v>10.58606880011809</v>
      </c>
      <c r="W411" s="11">
        <v>8.0157084866940682</v>
      </c>
      <c r="X411" s="11">
        <v>8.5603204773013353</v>
      </c>
      <c r="Y411" s="11">
        <v>8.6457828242213051</v>
      </c>
      <c r="Z411" s="11">
        <v>8.185607411632807</v>
      </c>
      <c r="AA411" s="11">
        <v>7.7195645121309724</v>
      </c>
      <c r="AB411" s="11">
        <v>7.8134470884821816</v>
      </c>
      <c r="AC411" s="11">
        <v>3.6090102599467371</v>
      </c>
      <c r="AD411" s="11">
        <v>0</v>
      </c>
      <c r="AE411" s="11">
        <v>1.7529198210128052</v>
      </c>
      <c r="AF411" s="11">
        <v>0.47677914088184625</v>
      </c>
      <c r="AG411" s="11">
        <v>1.0409859193984292</v>
      </c>
      <c r="AH411" s="11">
        <v>0</v>
      </c>
      <c r="AI411" s="11">
        <v>4.2520320843474888</v>
      </c>
      <c r="AJ411" s="11">
        <v>2.9534204593109634</v>
      </c>
      <c r="AK411" s="6"/>
      <c r="AL411" t="s">
        <v>1077</v>
      </c>
      <c r="AM411">
        <v>908</v>
      </c>
      <c r="AN411" s="6"/>
      <c r="AO411" s="20">
        <v>5.8952999999999998</v>
      </c>
      <c r="AP411" s="20">
        <v>10.946999999999999</v>
      </c>
      <c r="AQ411" s="20">
        <v>6.5438999999999998</v>
      </c>
      <c r="AR411" s="20">
        <v>8.782</v>
      </c>
      <c r="AS411" s="20">
        <v>8.0151000000000003</v>
      </c>
      <c r="AT411" s="20">
        <v>9.6058000000000003</v>
      </c>
      <c r="AU411" s="20">
        <v>3.4337</v>
      </c>
      <c r="AV411" s="20">
        <v>4.8907999999999996</v>
      </c>
      <c r="AW411" s="6"/>
      <c r="AX411" s="18">
        <v>1.3709999999999999E-13</v>
      </c>
      <c r="AY411" s="18">
        <v>1.101E-20</v>
      </c>
      <c r="AZ411" s="18">
        <v>8.0099999999999994E-14</v>
      </c>
      <c r="BA411" s="18">
        <v>3.3359999999999999E-16</v>
      </c>
      <c r="BB411" s="18">
        <v>3.7590000000000001E-19</v>
      </c>
      <c r="BC411" s="18">
        <v>1.2889999999999999E-14</v>
      </c>
      <c r="BD411" s="18">
        <v>1.094E-5</v>
      </c>
      <c r="BE411" s="18">
        <v>1.32E-9</v>
      </c>
      <c r="BF411" s="13"/>
      <c r="BG411" t="s">
        <v>1131</v>
      </c>
      <c r="BH411" t="s">
        <v>1126</v>
      </c>
      <c r="BI411" t="s">
        <v>1113</v>
      </c>
      <c r="BJ411" t="s">
        <v>1114</v>
      </c>
      <c r="BK411" t="s">
        <v>1115</v>
      </c>
      <c r="BL411" t="s">
        <v>1116</v>
      </c>
      <c r="BM411" t="s">
        <v>1117</v>
      </c>
      <c r="BN411" s="13"/>
      <c r="BO411" t="s">
        <v>973</v>
      </c>
      <c r="BP411" t="s">
        <v>973</v>
      </c>
      <c r="BQ411" t="s">
        <v>973</v>
      </c>
      <c r="BR411" t="s">
        <v>973</v>
      </c>
    </row>
    <row r="412" spans="1:70" x14ac:dyDescent="0.25">
      <c r="A412" t="s">
        <v>210</v>
      </c>
      <c r="B412" t="s">
        <v>149</v>
      </c>
      <c r="C412" t="s">
        <v>150</v>
      </c>
      <c r="D412" s="6"/>
      <c r="E412" s="9" t="str">
        <f>HYPERLINK("http://plants.ensembl.org/Triticum_aestivum/Gene/Summary?g=TRIAE_CS42_2BL_TGACv1_131457_AA0428060","TRIAE_CS42_2BL_TGACv1_131457_AA0428060")</f>
        <v>TRIAE_CS42_2BL_TGACv1_131457_AA0428060</v>
      </c>
      <c r="F412" s="9" t="str">
        <f>HYPERLINK("http://mar2016-plants.ensembl.org/Triticum_aestivum/Gene/Summary?db=core;g=Traes_2BL_E94651AAE","Traes_2BL_E94651AAE")</f>
        <v>Traes_2BL_E94651AAE</v>
      </c>
      <c r="G412" t="s">
        <v>983</v>
      </c>
      <c r="H412" s="8" t="str">
        <f>HYPERLINK("http://plants.ensembl.org/Brachypodium_distachyon/Gene/Summary?g=Bradi5g08650","Bradi5g08650")</f>
        <v>Bradi5g08650</v>
      </c>
      <c r="I412" s="8" t="str">
        <f>HYPERLINK("http://plants.ensembl.org/Arabidopsis_thaliana/Gene/Summary?g=AT5G13220","AT5G13220")</f>
        <v>AT5G13220</v>
      </c>
      <c r="J412" s="9" t="str">
        <f>HYPERLINK("http://plants.ensembl.org/Oryza_sativa/Gene/Summary?db=otherfeatures;g=LOC_Os04g32480","LOC_Os04g32480")</f>
        <v>LOC_Os04g32480</v>
      </c>
      <c r="K412" s="9" t="str">
        <f>HYPERLINK("http://plants.ensembl.org/Zea_mays/Gene/Summary?db=otherfeatures;g=GRMZM2G145407","GRMZM2G145407")</f>
        <v>GRMZM2G145407</v>
      </c>
      <c r="L412" s="6"/>
      <c r="M412" t="s">
        <v>973</v>
      </c>
      <c r="N412">
        <v>1</v>
      </c>
      <c r="O412">
        <v>1</v>
      </c>
      <c r="P412" t="s">
        <v>973</v>
      </c>
      <c r="S412" t="s">
        <v>973</v>
      </c>
      <c r="T412" s="6"/>
      <c r="U412" s="11">
        <v>7.8756864928745305</v>
      </c>
      <c r="V412" s="11">
        <v>8.1281210078470174</v>
      </c>
      <c r="W412" s="11">
        <v>6.375701528564643</v>
      </c>
      <c r="X412" s="11">
        <v>6.4280871026925963</v>
      </c>
      <c r="Y412" s="11">
        <v>6.7875791679706827</v>
      </c>
      <c r="Z412" s="11">
        <v>6.0643684147278707</v>
      </c>
      <c r="AA412" s="11">
        <v>5.9213998313280269</v>
      </c>
      <c r="AB412" s="11">
        <v>5.9732729846361288</v>
      </c>
      <c r="AC412" s="11">
        <v>2.749856022502597</v>
      </c>
      <c r="AD412" s="11">
        <v>0.41305242854852736</v>
      </c>
      <c r="AE412" s="11">
        <v>1.2926050818756376</v>
      </c>
      <c r="AF412" s="11">
        <v>0.25801633106716926</v>
      </c>
      <c r="AG412" s="11">
        <v>1.8110462429629037</v>
      </c>
      <c r="AH412" s="11">
        <v>0.40355859560642487</v>
      </c>
      <c r="AI412" s="11">
        <v>2.8050447613704033</v>
      </c>
      <c r="AJ412" s="11">
        <v>1.6240228879211884</v>
      </c>
      <c r="AK412" s="6"/>
      <c r="AL412" t="s">
        <v>1077</v>
      </c>
      <c r="AM412">
        <v>1057</v>
      </c>
      <c r="AN412" s="6"/>
      <c r="AO412" s="20">
        <v>5.3361999999999998</v>
      </c>
      <c r="AP412" s="20">
        <v>8.1420999999999992</v>
      </c>
      <c r="AQ412" s="20">
        <v>5.5343999999999998</v>
      </c>
      <c r="AR412" s="20">
        <v>7.4057000000000004</v>
      </c>
      <c r="AS412" s="20">
        <v>5.3040000000000003</v>
      </c>
      <c r="AT412" s="20">
        <v>6.9202000000000004</v>
      </c>
      <c r="AU412" s="20">
        <v>3.2549000000000001</v>
      </c>
      <c r="AV412" s="20">
        <v>4.7534000000000001</v>
      </c>
      <c r="AW412" s="6"/>
      <c r="AX412" s="18">
        <v>1.321E-15</v>
      </c>
      <c r="AY412" s="18">
        <v>1.32E-15</v>
      </c>
      <c r="AZ412" s="18">
        <v>2.573E-12</v>
      </c>
      <c r="BA412" s="18">
        <v>9.9890000000000004E-12</v>
      </c>
      <c r="BB412" s="18">
        <v>7.4479999999999995E-15</v>
      </c>
      <c r="BC412" s="18">
        <v>5.164E-10</v>
      </c>
      <c r="BD412" s="18">
        <v>5.2890000000000003E-7</v>
      </c>
      <c r="BE412" s="18">
        <v>1.967E-10</v>
      </c>
      <c r="BF412" s="13"/>
      <c r="BG412" t="s">
        <v>1143</v>
      </c>
      <c r="BH412" t="s">
        <v>1144</v>
      </c>
      <c r="BI412" t="s">
        <v>1113</v>
      </c>
      <c r="BJ412" t="s">
        <v>1114</v>
      </c>
      <c r="BK412" t="s">
        <v>1115</v>
      </c>
      <c r="BL412" t="s">
        <v>1116</v>
      </c>
      <c r="BM412" t="s">
        <v>1117</v>
      </c>
      <c r="BN412" s="13"/>
      <c r="BO412" t="s">
        <v>973</v>
      </c>
      <c r="BP412" t="s">
        <v>973</v>
      </c>
      <c r="BQ412" t="s">
        <v>973</v>
      </c>
      <c r="BR412" t="s">
        <v>973</v>
      </c>
    </row>
    <row r="413" spans="1:70" x14ac:dyDescent="0.25">
      <c r="A413" t="s">
        <v>262</v>
      </c>
      <c r="B413" t="s">
        <v>149</v>
      </c>
      <c r="C413" t="s">
        <v>150</v>
      </c>
      <c r="D413" s="6"/>
      <c r="E413" s="9" t="str">
        <f>HYPERLINK("http://plants.ensembl.org/Triticum_aestivum/Gene/Summary?g=TRIAE_CS42_2DL_TGACv1_160264_AA0548810","TRIAE_CS42_2DL_TGACv1_160264_AA0548810")</f>
        <v>TRIAE_CS42_2DL_TGACv1_160264_AA0548810</v>
      </c>
      <c r="F413" s="9" t="str">
        <f>HYPERLINK("http://mar2016-plants.ensembl.org/Triticum_aestivum/Gene/Summary?db=core;g=Traes_2DL_7DD4A39D4","Traes_2DL_7DD4A39D4")</f>
        <v>Traes_2DL_7DD4A39D4</v>
      </c>
      <c r="G413" t="s">
        <v>983</v>
      </c>
      <c r="H413" s="8" t="str">
        <f>HYPERLINK("http://plants.ensembl.org/Brachypodium_distachyon/Gene/Summary?g=Bradi5g08650","Bradi5g08650")</f>
        <v>Bradi5g08650</v>
      </c>
      <c r="I413" s="8" t="str">
        <f>HYPERLINK("http://plants.ensembl.org/Arabidopsis_thaliana/Gene/Summary?g=AT5G13220","AT5G13220")</f>
        <v>AT5G13220</v>
      </c>
      <c r="J413" s="9" t="str">
        <f>HYPERLINK("http://plants.ensembl.org/Oryza_sativa/Gene/Summary?db=otherfeatures;g=LOC_Os04g32480","LOC_Os04g32480")</f>
        <v>LOC_Os04g32480</v>
      </c>
      <c r="K413" s="9" t="str">
        <f>HYPERLINK("http://plants.ensembl.org/Zea_mays/Gene/Summary?db=otherfeatures;g=GRMZM2G145407","GRMZM2G145407")</f>
        <v>GRMZM2G145407</v>
      </c>
      <c r="L413" s="6"/>
      <c r="M413" t="s">
        <v>973</v>
      </c>
      <c r="N413">
        <v>1</v>
      </c>
      <c r="O413">
        <v>1</v>
      </c>
      <c r="P413" t="s">
        <v>973</v>
      </c>
      <c r="S413">
        <v>1</v>
      </c>
      <c r="T413" s="6"/>
      <c r="U413" s="11">
        <v>9.7787233494078656</v>
      </c>
      <c r="V413" s="11">
        <v>10.521412451836973</v>
      </c>
      <c r="W413" s="11">
        <v>7.9053862026849</v>
      </c>
      <c r="X413" s="11">
        <v>8.75003586112663</v>
      </c>
      <c r="Y413" s="11">
        <v>8.5058136706645477</v>
      </c>
      <c r="Z413" s="11">
        <v>8.0474694993610552</v>
      </c>
      <c r="AA413" s="11">
        <v>7.280122107392212</v>
      </c>
      <c r="AB413" s="11">
        <v>7.9483002547136694</v>
      </c>
      <c r="AC413" s="11">
        <v>3.9884968591284529</v>
      </c>
      <c r="AD413" s="11">
        <v>0.39407506562573752</v>
      </c>
      <c r="AE413" s="11">
        <v>3.1441116484584133</v>
      </c>
      <c r="AF413" s="11">
        <v>0.666726298757507</v>
      </c>
      <c r="AG413" s="11">
        <v>2.4775046427795497</v>
      </c>
      <c r="AH413" s="11">
        <v>1.0654114670602164</v>
      </c>
      <c r="AI413" s="11">
        <v>3.7537507094219928</v>
      </c>
      <c r="AJ413" s="11">
        <v>2.9910334957194529</v>
      </c>
      <c r="AK413" s="6"/>
      <c r="AL413" t="s">
        <v>1077</v>
      </c>
      <c r="AM413">
        <v>926</v>
      </c>
      <c r="AN413" s="6"/>
      <c r="AO413" s="20">
        <v>5.8158000000000003</v>
      </c>
      <c r="AP413" s="20">
        <v>10.372299999999999</v>
      </c>
      <c r="AQ413" s="20">
        <v>4.8468</v>
      </c>
      <c r="AR413" s="20">
        <v>8.6372999999999998</v>
      </c>
      <c r="AS413" s="20">
        <v>6.1867999999999999</v>
      </c>
      <c r="AT413" s="20">
        <v>7.4580000000000002</v>
      </c>
      <c r="AU413" s="20">
        <v>3.5615000000000001</v>
      </c>
      <c r="AV413" s="20">
        <v>5.0384000000000002</v>
      </c>
      <c r="AW413" s="6"/>
      <c r="AX413" s="18">
        <v>6.6140000000000003E-21</v>
      </c>
      <c r="AY413" s="18">
        <v>2.033E-25</v>
      </c>
      <c r="AZ413" s="18">
        <v>3.2579999999999999E-14</v>
      </c>
      <c r="BA413" s="18">
        <v>1.343E-21</v>
      </c>
      <c r="BB413" s="18">
        <v>8.3720000000000004E-22</v>
      </c>
      <c r="BC413" s="18">
        <v>1.2200000000000001E-18</v>
      </c>
      <c r="BD413" s="18">
        <v>8.9350000000000003E-9</v>
      </c>
      <c r="BE413" s="18">
        <v>4.3020000000000001E-15</v>
      </c>
      <c r="BF413" s="13"/>
      <c r="BG413" t="s">
        <v>1131</v>
      </c>
      <c r="BH413" t="s">
        <v>1144</v>
      </c>
      <c r="BI413" t="s">
        <v>1113</v>
      </c>
      <c r="BJ413" t="s">
        <v>1114</v>
      </c>
      <c r="BK413" t="s">
        <v>1115</v>
      </c>
      <c r="BL413" t="s">
        <v>1116</v>
      </c>
      <c r="BM413" t="s">
        <v>1117</v>
      </c>
      <c r="BN413" s="13"/>
      <c r="BO413" t="s">
        <v>973</v>
      </c>
      <c r="BP413" t="s">
        <v>973</v>
      </c>
      <c r="BQ413" t="s">
        <v>973</v>
      </c>
      <c r="BR413" t="s">
        <v>973</v>
      </c>
    </row>
    <row r="414" spans="1:70" x14ac:dyDescent="0.25">
      <c r="A414" t="s">
        <v>452</v>
      </c>
      <c r="B414" t="s">
        <v>149</v>
      </c>
      <c r="C414" t="s">
        <v>150</v>
      </c>
      <c r="D414" s="6"/>
      <c r="E414" s="9" t="str">
        <f>HYPERLINK("http://plants.ensembl.org/Triticum_aestivum/Gene/Summary?g=TRIAE_CS42_4AS_TGACv1_307330_AA1019590","TRIAE_CS42_4AS_TGACv1_307330_AA1019590")</f>
        <v>TRIAE_CS42_4AS_TGACv1_307330_AA1019590</v>
      </c>
      <c r="F414" s="9" t="str">
        <f>HYPERLINK("http://mar2016-plants.ensembl.org/Triticum_aestivum/Gene/Summary?db=core;g=Traes_4AS_6EAA11AAD","Traes_4AS_6EAA11AAD")</f>
        <v>Traes_4AS_6EAA11AAD</v>
      </c>
      <c r="H414" s="8" t="str">
        <f>HYPERLINK("http://plants.ensembl.org/Brachypodium_distachyon/Gene/Summary?g=Bradi1g72590","Bradi1g72590")</f>
        <v>Bradi1g72590</v>
      </c>
      <c r="I414" s="1" t="s">
        <v>1051</v>
      </c>
      <c r="J414" s="9" t="str">
        <f>HYPERLINK("http://plants.ensembl.org/Oryza_sativa/Gene/Summary?db=otherfeatures;g=LOC_Os03g08330","LOC_Os03g08330")</f>
        <v>LOC_Os03g08330</v>
      </c>
      <c r="L414" s="6"/>
      <c r="M414" s="1" t="s">
        <v>973</v>
      </c>
      <c r="N414" s="1">
        <v>1</v>
      </c>
      <c r="O414" s="1" t="s">
        <v>973</v>
      </c>
      <c r="P414" s="1" t="s">
        <v>973</v>
      </c>
      <c r="Q414" s="1" t="s">
        <v>973</v>
      </c>
      <c r="R414" s="1" t="s">
        <v>973</v>
      </c>
      <c r="S414" s="1"/>
      <c r="T414" s="6"/>
      <c r="U414" s="11">
        <v>9.490042714468208</v>
      </c>
      <c r="V414" s="11">
        <v>9.9755597344965121</v>
      </c>
      <c r="W414" s="11">
        <v>7.7613916628783439</v>
      </c>
      <c r="X414" s="11">
        <v>8.0801306963644723</v>
      </c>
      <c r="Y414" s="11">
        <v>8.2064109147622499</v>
      </c>
      <c r="Z414" s="11">
        <v>7.5469397201985657</v>
      </c>
      <c r="AA414" s="11">
        <v>7.8475278291831536</v>
      </c>
      <c r="AB414" s="11">
        <v>7.3019006721006123</v>
      </c>
      <c r="AC414" s="11">
        <v>4.2996451879747788</v>
      </c>
      <c r="AD414" s="11">
        <v>4.2199196881963497</v>
      </c>
      <c r="AE414" s="11">
        <v>4.0655780557095991</v>
      </c>
      <c r="AF414" s="11">
        <v>4.477735604015602</v>
      </c>
      <c r="AG414" s="11">
        <v>2.9993506411148907</v>
      </c>
      <c r="AH414" s="11">
        <v>3.0167458995250316</v>
      </c>
      <c r="AI414" s="11">
        <v>5.2634526265839376</v>
      </c>
      <c r="AJ414" s="11">
        <v>4.4928508824450724</v>
      </c>
      <c r="AK414" s="6"/>
      <c r="AL414" t="s">
        <v>1077</v>
      </c>
      <c r="AM414">
        <v>780</v>
      </c>
      <c r="AN414" s="6"/>
      <c r="AO414" s="20">
        <v>5.2104999999999997</v>
      </c>
      <c r="AP414" s="20">
        <v>5.6862000000000004</v>
      </c>
      <c r="AQ414" s="20">
        <v>3.7029000000000001</v>
      </c>
      <c r="AR414" s="20">
        <v>3.5623</v>
      </c>
      <c r="AS414" s="20">
        <v>5.2731000000000003</v>
      </c>
      <c r="AT414" s="20">
        <v>4.5907999999999998</v>
      </c>
      <c r="AU414" s="20">
        <v>2.5649999999999999</v>
      </c>
      <c r="AV414" s="20">
        <v>2.8056000000000001</v>
      </c>
      <c r="AW414" s="6"/>
      <c r="AX414" s="18">
        <v>4.2519999999999999E-16</v>
      </c>
      <c r="AY414" s="18">
        <v>4.7769999999999998E-17</v>
      </c>
      <c r="AZ414" s="18">
        <v>7.3529999999999997E-9</v>
      </c>
      <c r="BA414" s="18">
        <v>2.091E-8</v>
      </c>
      <c r="BB414" s="18">
        <v>6.0119999999999999E-16</v>
      </c>
      <c r="BC414" s="18">
        <v>9.7389999999999996E-12</v>
      </c>
      <c r="BD414" s="18">
        <v>4.0949999999999999E-5</v>
      </c>
      <c r="BE414" s="18">
        <v>9.7189999999999996E-6</v>
      </c>
      <c r="BF414" s="13"/>
      <c r="BG414" t="s">
        <v>1131</v>
      </c>
      <c r="BH414" t="s">
        <v>1144</v>
      </c>
      <c r="BI414" t="s">
        <v>1113</v>
      </c>
      <c r="BJ414" t="s">
        <v>1114</v>
      </c>
      <c r="BK414" t="s">
        <v>1115</v>
      </c>
      <c r="BL414" t="s">
        <v>1116</v>
      </c>
      <c r="BM414" t="s">
        <v>1117</v>
      </c>
      <c r="BN414" s="13"/>
      <c r="BO414" t="s">
        <v>973</v>
      </c>
      <c r="BP414" t="s">
        <v>973</v>
      </c>
      <c r="BQ414" t="s">
        <v>973</v>
      </c>
      <c r="BR414" t="s">
        <v>973</v>
      </c>
    </row>
    <row r="415" spans="1:70" x14ac:dyDescent="0.25">
      <c r="A415" t="s">
        <v>453</v>
      </c>
      <c r="B415" t="s">
        <v>149</v>
      </c>
      <c r="C415" t="s">
        <v>150</v>
      </c>
      <c r="D415" s="6"/>
      <c r="E415" s="9" t="str">
        <f>HYPERLINK("http://plants.ensembl.org/Triticum_aestivum/Gene/Summary?g=TRIAE_CS42_4AS_TGACv1_307330_AA1019570","TRIAE_CS42_4AS_TGACv1_307330_AA1019570")</f>
        <v>TRIAE_CS42_4AS_TGACv1_307330_AA1019570</v>
      </c>
      <c r="H415" s="8" t="str">
        <f>HYPERLINK("http://plants.ensembl.org/Brachypodium_distachyon/Gene/Summary?g=Bradi1g72600","Bradi1g72600")</f>
        <v>Bradi1g72600</v>
      </c>
      <c r="I415" s="1" t="s">
        <v>1051</v>
      </c>
      <c r="J415" s="9" t="str">
        <f>HYPERLINK("http://plants.ensembl.org/Oryza_sativa/Gene/Summary?db=otherfeatures;g=LOC_Os03g08320","LOC_Os03g08320")</f>
        <v>LOC_Os03g08320</v>
      </c>
      <c r="L415" s="6"/>
      <c r="M415" s="1" t="s">
        <v>973</v>
      </c>
      <c r="N415" s="1">
        <v>1</v>
      </c>
      <c r="O415" s="1" t="s">
        <v>973</v>
      </c>
      <c r="P415" s="1" t="s">
        <v>973</v>
      </c>
      <c r="Q415" s="1" t="s">
        <v>973</v>
      </c>
      <c r="R415" s="1" t="s">
        <v>973</v>
      </c>
      <c r="S415" s="1"/>
      <c r="T415" s="6"/>
      <c r="U415" s="11">
        <v>8.4973350613700287</v>
      </c>
      <c r="V415" s="11">
        <v>9.6646622653507173</v>
      </c>
      <c r="W415" s="11">
        <v>7.3094172351025533</v>
      </c>
      <c r="X415" s="11">
        <v>7.4940630009756584</v>
      </c>
      <c r="Y415" s="11">
        <v>8.030916483018542</v>
      </c>
      <c r="Z415" s="11">
        <v>7.5004175380357259</v>
      </c>
      <c r="AA415" s="11">
        <v>8.0525106316668094</v>
      </c>
      <c r="AB415" s="11">
        <v>7.6400942709785262</v>
      </c>
      <c r="AC415" s="11">
        <v>5.4085488354299693</v>
      </c>
      <c r="AD415" s="11">
        <v>6.7546799885088715</v>
      </c>
      <c r="AE415" s="11">
        <v>5.6521566163924382</v>
      </c>
      <c r="AF415" s="11">
        <v>5.2114743219773016</v>
      </c>
      <c r="AG415" s="11">
        <v>5.6805662861943382</v>
      </c>
      <c r="AH415" s="11">
        <v>5.3671229063515069</v>
      </c>
      <c r="AI415" s="11">
        <v>5.5057766271794621</v>
      </c>
      <c r="AJ415" s="11">
        <v>6.0697565788280663</v>
      </c>
      <c r="AK415" s="6"/>
      <c r="AL415" t="s">
        <v>1077</v>
      </c>
      <c r="AM415">
        <v>289</v>
      </c>
      <c r="AN415" s="6"/>
      <c r="AO415" s="20">
        <v>3.1063000000000001</v>
      </c>
      <c r="AP415" s="20">
        <v>2.9373</v>
      </c>
      <c r="AQ415" s="20">
        <v>1.6565000000000001</v>
      </c>
      <c r="AR415" s="20">
        <v>2.2582</v>
      </c>
      <c r="AS415" s="20">
        <v>2.3395000000000001</v>
      </c>
      <c r="AT415" s="20">
        <v>2.1379000000000001</v>
      </c>
      <c r="AU415" s="20">
        <v>2.5417999999999998</v>
      </c>
      <c r="AV415" s="20">
        <v>1.5668</v>
      </c>
      <c r="AW415" s="6"/>
      <c r="AX415" s="18">
        <v>1.6620000000000001E-10</v>
      </c>
      <c r="AY415" s="18">
        <v>1.9749999999999999E-9</v>
      </c>
      <c r="AZ415" s="18">
        <v>5.6450000000000001E-4</v>
      </c>
      <c r="BA415" s="18">
        <v>3.3629999999999998E-6</v>
      </c>
      <c r="BB415" s="18">
        <v>8.7830000000000002E-7</v>
      </c>
      <c r="BC415" s="18">
        <v>1.012E-5</v>
      </c>
      <c r="BD415" s="18">
        <v>1.157E-7</v>
      </c>
      <c r="BE415" s="18">
        <v>1.0269999999999999E-3</v>
      </c>
      <c r="BF415" s="13"/>
      <c r="BG415" t="s">
        <v>1131</v>
      </c>
      <c r="BH415" t="s">
        <v>1126</v>
      </c>
      <c r="BI415" t="s">
        <v>1282</v>
      </c>
      <c r="BJ415" t="s">
        <v>1114</v>
      </c>
      <c r="BK415" t="s">
        <v>1151</v>
      </c>
      <c r="BL415" t="s">
        <v>1116</v>
      </c>
      <c r="BM415" t="s">
        <v>1117</v>
      </c>
      <c r="BN415" s="13"/>
      <c r="BO415" t="s">
        <v>973</v>
      </c>
      <c r="BP415" t="s">
        <v>973</v>
      </c>
      <c r="BQ415" t="s">
        <v>973</v>
      </c>
      <c r="BR415" t="s">
        <v>973</v>
      </c>
    </row>
    <row r="416" spans="1:70" x14ac:dyDescent="0.25">
      <c r="A416" t="s">
        <v>454</v>
      </c>
      <c r="B416" t="s">
        <v>149</v>
      </c>
      <c r="C416" t="s">
        <v>150</v>
      </c>
      <c r="D416" s="6"/>
      <c r="E416" s="9" t="str">
        <f>HYPERLINK("http://plants.ensembl.org/Triticum_aestivum/Gene/Summary?g=TRIAE_CS42_4AS_TGACv1_307330_AA1019560","TRIAE_CS42_4AS_TGACv1_307330_AA1019560")</f>
        <v>TRIAE_CS42_4AS_TGACv1_307330_AA1019560</v>
      </c>
      <c r="F416" s="9" t="str">
        <f>HYPERLINK("http://mar2016-plants.ensembl.org/Triticum_aestivum/Gene/Summary?db=core;g=Traes_4AS_70BE0A0AB","Traes_4AS_70BE0A0AB")</f>
        <v>Traes_4AS_70BE0A0AB</v>
      </c>
      <c r="H416" s="8" t="str">
        <f>HYPERLINK("http://plants.ensembl.org/Brachypodium_distachyon/Gene/Summary?g=Bradi1g72610","Bradi1g72610")</f>
        <v>Bradi1g72610</v>
      </c>
      <c r="I416" s="1" t="s">
        <v>1051</v>
      </c>
      <c r="J416" s="9" t="str">
        <f>HYPERLINK("http://plants.ensembl.org/Oryza_sativa/Gene/Summary?db=otherfeatures;g=LOC_Os03g08310","LOC_Os03g08310")</f>
        <v>LOC_Os03g08310</v>
      </c>
      <c r="L416" s="6"/>
      <c r="M416" s="1" t="s">
        <v>973</v>
      </c>
      <c r="N416" s="1">
        <v>1</v>
      </c>
      <c r="O416" s="1" t="s">
        <v>973</v>
      </c>
      <c r="P416" s="1" t="s">
        <v>973</v>
      </c>
      <c r="Q416" s="1" t="s">
        <v>973</v>
      </c>
      <c r="R416" s="1" t="s">
        <v>973</v>
      </c>
      <c r="S416" s="1"/>
      <c r="T416" s="6"/>
      <c r="U416" s="11">
        <v>8.7867953067962805</v>
      </c>
      <c r="V416" s="11">
        <v>9.4702279329193946</v>
      </c>
      <c r="W416" s="11">
        <v>6.6701260424075297</v>
      </c>
      <c r="X416" s="11">
        <v>6.8780296528787641</v>
      </c>
      <c r="Y416" s="11">
        <v>7.4286837133076054</v>
      </c>
      <c r="Z416" s="11">
        <v>6.8744018998767586</v>
      </c>
      <c r="AA416" s="11">
        <v>6.9819899919291206</v>
      </c>
      <c r="AB416" s="11">
        <v>6.9353630934292871</v>
      </c>
      <c r="AC416" s="11">
        <v>3.0013458873883709</v>
      </c>
      <c r="AD416" s="11">
        <v>5.6153329145508142</v>
      </c>
      <c r="AE416" s="11">
        <v>3.9654118289085076</v>
      </c>
      <c r="AF416" s="11">
        <v>3.2377778429120077</v>
      </c>
      <c r="AG416" s="11">
        <v>3.7392468544968813</v>
      </c>
      <c r="AH416" s="11">
        <v>2.834677510732921</v>
      </c>
      <c r="AI416" s="11">
        <v>3.3945461527117882</v>
      </c>
      <c r="AJ416" s="11">
        <v>4.3983686137187421</v>
      </c>
      <c r="AK416" s="6"/>
      <c r="AL416" t="s">
        <v>1077</v>
      </c>
      <c r="AM416">
        <v>290</v>
      </c>
      <c r="AN416" s="6"/>
      <c r="AO416" s="20">
        <v>5.8667999999999996</v>
      </c>
      <c r="AP416" s="20">
        <v>4.0663999999999998</v>
      </c>
      <c r="AQ416" s="20">
        <v>2.7427999999999999</v>
      </c>
      <c r="AR416" s="20">
        <v>3.7517999999999998</v>
      </c>
      <c r="AS416" s="20">
        <v>3.7490000000000001</v>
      </c>
      <c r="AT416" s="20">
        <v>4.1261999999999999</v>
      </c>
      <c r="AU416" s="20">
        <v>3.657</v>
      </c>
      <c r="AV416" s="20">
        <v>2.5638000000000001</v>
      </c>
      <c r="AW416" s="6"/>
      <c r="AX416" s="18">
        <v>1.647E-27</v>
      </c>
      <c r="AY416" s="18">
        <v>4.28E-16</v>
      </c>
      <c r="AZ416" s="18">
        <v>3.3540000000000001E-8</v>
      </c>
      <c r="BA416" s="18">
        <v>1.113E-12</v>
      </c>
      <c r="BB416" s="18">
        <v>1.6009999999999999E-14</v>
      </c>
      <c r="BC416" s="18">
        <v>5.0649999999999997E-14</v>
      </c>
      <c r="BD416" s="18">
        <v>8.6150000000000001E-13</v>
      </c>
      <c r="BE416" s="18">
        <v>1.3479999999999999E-7</v>
      </c>
      <c r="BF416" s="13"/>
      <c r="BG416" t="s">
        <v>1131</v>
      </c>
      <c r="BH416" t="s">
        <v>1132</v>
      </c>
      <c r="BI416" t="s">
        <v>1113</v>
      </c>
      <c r="BJ416" t="s">
        <v>1114</v>
      </c>
      <c r="BK416" t="s">
        <v>1115</v>
      </c>
      <c r="BL416" t="s">
        <v>1116</v>
      </c>
      <c r="BM416" t="s">
        <v>1117</v>
      </c>
      <c r="BN416" s="13"/>
      <c r="BO416" t="s">
        <v>973</v>
      </c>
      <c r="BP416" t="s">
        <v>973</v>
      </c>
      <c r="BQ416" t="s">
        <v>973</v>
      </c>
      <c r="BR416" t="s">
        <v>973</v>
      </c>
    </row>
    <row r="417" spans="1:70" x14ac:dyDescent="0.25">
      <c r="A417" t="s">
        <v>550</v>
      </c>
      <c r="B417" t="s">
        <v>149</v>
      </c>
      <c r="C417" t="s">
        <v>150</v>
      </c>
      <c r="D417" s="6"/>
      <c r="E417" s="9" t="str">
        <f>HYPERLINK("http://plants.ensembl.org/Triticum_aestivum/Gene/Summary?g=TRIAE_CS42_4BL_TGACv1_320580_AA1043700","TRIAE_CS42_4BL_TGACv1_320580_AA1043700")</f>
        <v>TRIAE_CS42_4BL_TGACv1_320580_AA1043700</v>
      </c>
      <c r="H417" s="8" t="str">
        <f>HYPERLINK("http://plants.ensembl.org/Brachypodium_distachyon/Gene/Summary?g=Bradi1g72600","Bradi1g72600")</f>
        <v>Bradi1g72600</v>
      </c>
      <c r="I417" s="1" t="s">
        <v>1051</v>
      </c>
      <c r="J417" s="9" t="str">
        <f>HYPERLINK("http://plants.ensembl.org/Oryza_sativa/Gene/Summary?db=otherfeatures;g=LOC_Os03g08320","LOC_Os03g08320")</f>
        <v>LOC_Os03g08320</v>
      </c>
      <c r="L417" s="6"/>
      <c r="M417" s="1" t="s">
        <v>973</v>
      </c>
      <c r="N417" s="1">
        <v>1</v>
      </c>
      <c r="O417" s="1" t="s">
        <v>973</v>
      </c>
      <c r="P417" s="1" t="s">
        <v>973</v>
      </c>
      <c r="Q417" s="1" t="s">
        <v>973</v>
      </c>
      <c r="R417" s="1" t="s">
        <v>973</v>
      </c>
      <c r="S417" s="1"/>
      <c r="T417" s="6"/>
      <c r="U417" s="11">
        <v>9.4317760875145868</v>
      </c>
      <c r="V417" s="11">
        <v>10.366161577968935</v>
      </c>
      <c r="W417" s="11">
        <v>8.0443545904300731</v>
      </c>
      <c r="X417" s="11">
        <v>8.3353940768125518</v>
      </c>
      <c r="Y417" s="11">
        <v>8.9102535625227315</v>
      </c>
      <c r="Z417" s="11">
        <v>8.392297098955467</v>
      </c>
      <c r="AA417" s="11">
        <v>8.5832874012560438</v>
      </c>
      <c r="AB417" s="11">
        <v>7.9774894425649583</v>
      </c>
      <c r="AC417" s="11">
        <v>5.8747469738955642</v>
      </c>
      <c r="AD417" s="11">
        <v>6.293929559988106</v>
      </c>
      <c r="AE417" s="11">
        <v>4.98486121610377</v>
      </c>
      <c r="AF417" s="11">
        <v>5.291312543928048</v>
      </c>
      <c r="AG417" s="11">
        <v>5.5940040523671914</v>
      </c>
      <c r="AH417" s="11">
        <v>5.1291992007983849</v>
      </c>
      <c r="AI417" s="11">
        <v>5.7465456715631751</v>
      </c>
      <c r="AJ417" s="11">
        <v>5.9707808123502062</v>
      </c>
      <c r="AK417" s="6"/>
      <c r="AL417" t="s">
        <v>1077</v>
      </c>
      <c r="AM417">
        <v>952</v>
      </c>
      <c r="AN417" s="6"/>
      <c r="AO417" s="20">
        <v>3.5659000000000001</v>
      </c>
      <c r="AP417" s="20">
        <v>4.0998999999999999</v>
      </c>
      <c r="AQ417" s="20">
        <v>3.0697999999999999</v>
      </c>
      <c r="AR417" s="20">
        <v>3.0213000000000001</v>
      </c>
      <c r="AS417" s="20">
        <v>3.3127</v>
      </c>
      <c r="AT417" s="20">
        <v>3.2744</v>
      </c>
      <c r="AU417" s="20">
        <v>2.8351999999999999</v>
      </c>
      <c r="AV417" s="20">
        <v>2.0072000000000001</v>
      </c>
      <c r="AW417" s="6"/>
      <c r="AX417" s="18">
        <v>4.589E-18</v>
      </c>
      <c r="AY417" s="18">
        <v>6.7650000000000003E-22</v>
      </c>
      <c r="AZ417" s="18">
        <v>2.2970000000000002E-13</v>
      </c>
      <c r="BA417" s="18">
        <v>3.877E-13</v>
      </c>
      <c r="BB417" s="18">
        <v>3.5409999999999998E-16</v>
      </c>
      <c r="BC417" s="18">
        <v>5.305E-15</v>
      </c>
      <c r="BD417" s="18">
        <v>4.013E-12</v>
      </c>
      <c r="BE417" s="18">
        <v>9.0139999999999996E-7</v>
      </c>
      <c r="BF417" s="13"/>
      <c r="BG417" t="s">
        <v>1131</v>
      </c>
      <c r="BH417" t="s">
        <v>1211</v>
      </c>
      <c r="BI417" t="s">
        <v>1113</v>
      </c>
      <c r="BJ417" t="s">
        <v>1114</v>
      </c>
      <c r="BK417" t="s">
        <v>1115</v>
      </c>
      <c r="BL417" t="s">
        <v>1116</v>
      </c>
      <c r="BM417" t="s">
        <v>1117</v>
      </c>
      <c r="BN417" s="13"/>
      <c r="BO417" t="s">
        <v>973</v>
      </c>
      <c r="BP417" t="s">
        <v>973</v>
      </c>
      <c r="BQ417" t="s">
        <v>973</v>
      </c>
      <c r="BR417" t="s">
        <v>973</v>
      </c>
    </row>
    <row r="418" spans="1:70" x14ac:dyDescent="0.25">
      <c r="A418" t="s">
        <v>551</v>
      </c>
      <c r="B418" t="s">
        <v>149</v>
      </c>
      <c r="C418" t="s">
        <v>150</v>
      </c>
      <c r="D418" s="6"/>
      <c r="E418" s="9" t="str">
        <f>HYPERLINK("http://plants.ensembl.org/Triticum_aestivum/Gene/Summary?g=TRIAE_CS42_4BL_TGACv1_320580_AA1043690","TRIAE_CS42_4BL_TGACv1_320580_AA1043690")</f>
        <v>TRIAE_CS42_4BL_TGACv1_320580_AA1043690</v>
      </c>
      <c r="H418" s="8" t="str">
        <f>HYPERLINK("http://plants.ensembl.org/Brachypodium_distachyon/Gene/Summary?g=Bradi1g72590","Bradi1g72590")</f>
        <v>Bradi1g72590</v>
      </c>
      <c r="I418" s="1" t="s">
        <v>1051</v>
      </c>
      <c r="J418" s="9" t="str">
        <f>HYPERLINK("http://plants.ensembl.org/Oryza_sativa/Gene/Summary?db=otherfeatures;g=LOC_Os03g08330","LOC_Os03g08330")</f>
        <v>LOC_Os03g08330</v>
      </c>
      <c r="L418" s="6"/>
      <c r="M418" s="1" t="s">
        <v>973</v>
      </c>
      <c r="N418" s="1">
        <v>1</v>
      </c>
      <c r="O418" s="1" t="s">
        <v>973</v>
      </c>
      <c r="P418" s="1" t="s">
        <v>973</v>
      </c>
      <c r="Q418" s="1" t="s">
        <v>973</v>
      </c>
      <c r="R418" s="1" t="s">
        <v>973</v>
      </c>
      <c r="S418" s="1"/>
      <c r="T418" s="6"/>
      <c r="U418" s="11">
        <v>10.819567895293323</v>
      </c>
      <c r="V418" s="11">
        <v>10.985197156768056</v>
      </c>
      <c r="W418" s="11">
        <v>9.1053223219132899</v>
      </c>
      <c r="X418" s="11">
        <v>9.362451989378263</v>
      </c>
      <c r="Y418" s="11">
        <v>9.7261882377198052</v>
      </c>
      <c r="Z418" s="11">
        <v>9.459702440083813</v>
      </c>
      <c r="AA418" s="11">
        <v>9.3509176035572459</v>
      </c>
      <c r="AB418" s="11">
        <v>9.0630505011946916</v>
      </c>
      <c r="AC418" s="11">
        <v>6.9080875358309504</v>
      </c>
      <c r="AD418" s="11">
        <v>5.7704123834563106</v>
      </c>
      <c r="AE418" s="11">
        <v>5.5438742422409506</v>
      </c>
      <c r="AF418" s="11">
        <v>6.1127960312554892</v>
      </c>
      <c r="AG418" s="11">
        <v>5.1920705154424729</v>
      </c>
      <c r="AH418" s="11">
        <v>4.8101517247468042</v>
      </c>
      <c r="AI418" s="11">
        <v>7.3581248636554131</v>
      </c>
      <c r="AJ418" s="11">
        <v>7.1714590527808992</v>
      </c>
      <c r="AK418" s="6"/>
      <c r="AL418" t="s">
        <v>1077</v>
      </c>
      <c r="AM418">
        <v>654</v>
      </c>
      <c r="AN418" s="6"/>
      <c r="AO418" s="20">
        <v>3.8807999999999998</v>
      </c>
      <c r="AP418" s="20">
        <v>5.0614999999999997</v>
      </c>
      <c r="AQ418" s="20">
        <v>3.5495000000000001</v>
      </c>
      <c r="AR418" s="20">
        <v>3.2170000000000001</v>
      </c>
      <c r="AS418" s="20">
        <v>4.5190000000000001</v>
      </c>
      <c r="AT418" s="20">
        <v>4.6437999999999997</v>
      </c>
      <c r="AU418" s="20">
        <v>1.9764999999999999</v>
      </c>
      <c r="AV418" s="20">
        <v>1.8778999999999999</v>
      </c>
      <c r="AW418" s="6"/>
      <c r="AX418" s="18">
        <v>3.2769999999999998E-16</v>
      </c>
      <c r="AY418" s="18">
        <v>5.4509999999999998E-24</v>
      </c>
      <c r="AZ418" s="18">
        <v>1.779E-13</v>
      </c>
      <c r="BA418" s="18">
        <v>1.8559999999999998E-11</v>
      </c>
      <c r="BB418" s="18">
        <v>4.9549999999999999E-21</v>
      </c>
      <c r="BC418" s="18">
        <v>3.8959999999999998E-21</v>
      </c>
      <c r="BD418" s="18">
        <v>2.9289999999999999E-5</v>
      </c>
      <c r="BE418" s="18">
        <v>7.4270000000000006E-5</v>
      </c>
      <c r="BF418" s="13"/>
      <c r="BG418" t="s">
        <v>1131</v>
      </c>
      <c r="BH418" t="s">
        <v>1144</v>
      </c>
      <c r="BI418" t="s">
        <v>1135</v>
      </c>
      <c r="BJ418" t="s">
        <v>1114</v>
      </c>
      <c r="BK418" t="s">
        <v>1115</v>
      </c>
      <c r="BL418" t="s">
        <v>1116</v>
      </c>
      <c r="BM418" t="s">
        <v>1205</v>
      </c>
      <c r="BN418" s="13"/>
      <c r="BO418" t="s">
        <v>973</v>
      </c>
      <c r="BP418" t="s">
        <v>973</v>
      </c>
      <c r="BQ418" t="s">
        <v>973</v>
      </c>
      <c r="BR418" t="s">
        <v>973</v>
      </c>
    </row>
    <row r="419" spans="1:70" x14ac:dyDescent="0.25">
      <c r="A419" t="s">
        <v>594</v>
      </c>
      <c r="B419" t="s">
        <v>149</v>
      </c>
      <c r="C419" t="s">
        <v>150</v>
      </c>
      <c r="D419" s="6"/>
      <c r="E419" s="9" t="str">
        <f>HYPERLINK("http://plants.ensembl.org/Triticum_aestivum/Gene/Summary?g=TRIAE_CS42_4DL_TGACv1_343139_AA1130400","TRIAE_CS42_4DL_TGACv1_343139_AA1130400")</f>
        <v>TRIAE_CS42_4DL_TGACv1_343139_AA1130400</v>
      </c>
      <c r="H419" s="8" t="str">
        <f>HYPERLINK("http://plants.ensembl.org/Brachypodium_distachyon/Gene/Summary?g=Bradi1g72610","Bradi1g72610")</f>
        <v>Bradi1g72610</v>
      </c>
      <c r="I419" s="1" t="s">
        <v>1051</v>
      </c>
      <c r="J419" s="9" t="str">
        <f>HYPERLINK("http://plants.ensembl.org/Oryza_sativa/Gene/Summary?db=otherfeatures;g=LOC_Os03g08310","LOC_Os03g08310")</f>
        <v>LOC_Os03g08310</v>
      </c>
      <c r="L419" s="6"/>
      <c r="M419" s="1" t="s">
        <v>973</v>
      </c>
      <c r="N419" s="1">
        <v>1</v>
      </c>
      <c r="O419" s="1" t="s">
        <v>973</v>
      </c>
      <c r="P419" s="1" t="s">
        <v>973</v>
      </c>
      <c r="Q419" s="1" t="s">
        <v>973</v>
      </c>
      <c r="R419" s="1" t="s">
        <v>973</v>
      </c>
      <c r="S419" s="1"/>
      <c r="T419" s="6"/>
      <c r="U419" s="11">
        <v>8.0014605527163827</v>
      </c>
      <c r="V419" s="11">
        <v>7.2430381193249023</v>
      </c>
      <c r="W419" s="11">
        <v>5.4979678332168591</v>
      </c>
      <c r="X419" s="11">
        <v>5.8966569359437679</v>
      </c>
      <c r="Y419" s="11">
        <v>6.7564847141491802</v>
      </c>
      <c r="Z419" s="11">
        <v>5.7938603434806071</v>
      </c>
      <c r="AA419" s="11">
        <v>6.2426006006252379</v>
      </c>
      <c r="AB419" s="11">
        <v>5.311147047876517</v>
      </c>
      <c r="AC419" s="11">
        <v>3.5295711075738949</v>
      </c>
      <c r="AD419" s="11">
        <v>2.2447247214345043</v>
      </c>
      <c r="AE419" s="11">
        <v>3.0659858294985858</v>
      </c>
      <c r="AF419" s="11">
        <v>1.5861642459309095</v>
      </c>
      <c r="AG419" s="11">
        <v>3.6385720313670613</v>
      </c>
      <c r="AH419" s="11">
        <v>0.82374936030827284</v>
      </c>
      <c r="AI419" s="11">
        <v>3.2041041897506708</v>
      </c>
      <c r="AJ419" s="11">
        <v>2.0327943928763581</v>
      </c>
      <c r="AK419" s="6"/>
      <c r="AL419" t="s">
        <v>1077</v>
      </c>
      <c r="AM419">
        <v>742</v>
      </c>
      <c r="AN419" s="6"/>
      <c r="AO419" s="20">
        <v>4.5431999999999997</v>
      </c>
      <c r="AP419" s="20">
        <v>6.0119999999999996</v>
      </c>
      <c r="AQ419" s="20">
        <v>2.5171000000000001</v>
      </c>
      <c r="AR419" s="20">
        <v>4.5350999999999999</v>
      </c>
      <c r="AS419" s="20">
        <v>3.1623000000000001</v>
      </c>
      <c r="AT419" s="20">
        <v>5.6280000000000001</v>
      </c>
      <c r="AU419" s="20">
        <v>3.1427999999999998</v>
      </c>
      <c r="AV419" s="20">
        <v>3.5615999999999999</v>
      </c>
      <c r="AW419" s="6"/>
      <c r="AX419" s="18">
        <v>1.672E-18</v>
      </c>
      <c r="AY419" s="18">
        <v>1.367E-14</v>
      </c>
      <c r="AZ419" s="18">
        <v>2.4389999999999999E-6</v>
      </c>
      <c r="BA419" s="18">
        <v>4.8129999999999998E-12</v>
      </c>
      <c r="BB419" s="18">
        <v>1.1869999999999999E-10</v>
      </c>
      <c r="BC419" s="18">
        <v>2.6519999999999999E-11</v>
      </c>
      <c r="BD419" s="18">
        <v>1.655E-9</v>
      </c>
      <c r="BE419" s="18">
        <v>6.0209999999999998E-9</v>
      </c>
      <c r="BF419" s="13"/>
      <c r="BG419" t="s">
        <v>1143</v>
      </c>
      <c r="BH419" t="s">
        <v>1132</v>
      </c>
      <c r="BI419" t="s">
        <v>1113</v>
      </c>
      <c r="BJ419" t="s">
        <v>1114</v>
      </c>
      <c r="BK419" t="s">
        <v>1115</v>
      </c>
      <c r="BL419" t="s">
        <v>1204</v>
      </c>
      <c r="BM419" t="s">
        <v>1117</v>
      </c>
      <c r="BN419" s="13"/>
      <c r="BO419" t="s">
        <v>973</v>
      </c>
      <c r="BP419" t="s">
        <v>973</v>
      </c>
      <c r="BQ419" t="s">
        <v>973</v>
      </c>
      <c r="BR419" t="s">
        <v>973</v>
      </c>
    </row>
    <row r="420" spans="1:70" x14ac:dyDescent="0.25">
      <c r="A420" t="s">
        <v>595</v>
      </c>
      <c r="B420" t="s">
        <v>149</v>
      </c>
      <c r="C420" t="s">
        <v>150</v>
      </c>
      <c r="D420" s="6"/>
      <c r="E420" s="9" t="str">
        <f>HYPERLINK("http://plants.ensembl.org/Triticum_aestivum/Gene/Summary?g=TRIAE_CS42_4DL_TGACv1_343139_AA1130410","TRIAE_CS42_4DL_TGACv1_343139_AA1130410")</f>
        <v>TRIAE_CS42_4DL_TGACv1_343139_AA1130410</v>
      </c>
      <c r="F420" s="9" t="str">
        <f>HYPERLINK("http://mar2016-plants.ensembl.org/Triticum_aestivum/Gene/Summary?db=core;g=Traes_4DL_7564D43A9","Traes_4DL_7564D43A9")</f>
        <v>Traes_4DL_7564D43A9</v>
      </c>
      <c r="H420" s="8" t="str">
        <f>HYPERLINK("http://plants.ensembl.org/Brachypodium_distachyon/Gene/Summary?g=Bradi1g72600","Bradi1g72600")</f>
        <v>Bradi1g72600</v>
      </c>
      <c r="I420" s="1" t="s">
        <v>1051</v>
      </c>
      <c r="J420" s="9" t="str">
        <f>HYPERLINK("http://plants.ensembl.org/Oryza_sativa/Gene/Summary?db=otherfeatures;g=LOC_Os03g08320","LOC_Os03g08320")</f>
        <v>LOC_Os03g08320</v>
      </c>
      <c r="L420" s="6"/>
      <c r="M420" s="1" t="s">
        <v>973</v>
      </c>
      <c r="N420" s="1">
        <v>1</v>
      </c>
      <c r="O420" s="1" t="s">
        <v>973</v>
      </c>
      <c r="P420" s="1" t="s">
        <v>973</v>
      </c>
      <c r="Q420" s="1" t="s">
        <v>973</v>
      </c>
      <c r="R420" s="1" t="s">
        <v>973</v>
      </c>
      <c r="S420" s="1"/>
      <c r="T420" s="6"/>
      <c r="U420" s="11">
        <v>9.8035915503413857</v>
      </c>
      <c r="V420" s="11">
        <v>10.750370457687787</v>
      </c>
      <c r="W420" s="11">
        <v>8.3787319700012493</v>
      </c>
      <c r="X420" s="11">
        <v>8.7142049842360496</v>
      </c>
      <c r="Y420" s="11">
        <v>8.8616160039817569</v>
      </c>
      <c r="Z420" s="11">
        <v>8.4362561087936001</v>
      </c>
      <c r="AA420" s="11">
        <v>8.7585000656623127</v>
      </c>
      <c r="AB420" s="11">
        <v>8.2330116356179399</v>
      </c>
      <c r="AC420" s="11">
        <v>6.1773278404680676</v>
      </c>
      <c r="AD420" s="11">
        <v>6.3352938740286433</v>
      </c>
      <c r="AE420" s="11">
        <v>5.6789939584005369</v>
      </c>
      <c r="AF420" s="11">
        <v>5.8103222743611154</v>
      </c>
      <c r="AG420" s="11">
        <v>6.1135393758879388</v>
      </c>
      <c r="AH420" s="11">
        <v>5.3165247138018215</v>
      </c>
      <c r="AI420" s="11">
        <v>6.6017440509545589</v>
      </c>
      <c r="AJ420" s="11">
        <v>6.7663120187365244</v>
      </c>
      <c r="AK420" s="6"/>
      <c r="AL420" t="s">
        <v>1077</v>
      </c>
      <c r="AM420">
        <v>710</v>
      </c>
      <c r="AN420" s="6"/>
      <c r="AO420" s="20">
        <v>3.6147</v>
      </c>
      <c r="AP420" s="20">
        <v>4.3311000000000002</v>
      </c>
      <c r="AQ420" s="20">
        <v>2.6909999999999998</v>
      </c>
      <c r="AR420" s="20">
        <v>2.8852000000000002</v>
      </c>
      <c r="AS420" s="20">
        <v>2.7322000000000002</v>
      </c>
      <c r="AT420" s="20">
        <v>3.1141999999999999</v>
      </c>
      <c r="AU420" s="20">
        <v>2.1436000000000002</v>
      </c>
      <c r="AV420" s="20">
        <v>1.4582999999999999</v>
      </c>
      <c r="AW420" s="6"/>
      <c r="AX420" s="18">
        <v>4.1579999999999998E-14</v>
      </c>
      <c r="AY420" s="18">
        <v>1.438E-18</v>
      </c>
      <c r="AZ420" s="18">
        <v>2.051E-8</v>
      </c>
      <c r="BA420" s="18">
        <v>1.8400000000000001E-9</v>
      </c>
      <c r="BB420" s="18">
        <v>8.3340000000000004E-9</v>
      </c>
      <c r="BC420" s="18">
        <v>1.324E-10</v>
      </c>
      <c r="BD420" s="18">
        <v>6.1020000000000002E-6</v>
      </c>
      <c r="BE420" s="18">
        <v>2.114E-3</v>
      </c>
      <c r="BF420" s="13"/>
      <c r="BG420" t="s">
        <v>1131</v>
      </c>
      <c r="BH420" t="s">
        <v>1211</v>
      </c>
      <c r="BI420" t="s">
        <v>1113</v>
      </c>
      <c r="BJ420" t="s">
        <v>1114</v>
      </c>
      <c r="BK420" t="s">
        <v>1115</v>
      </c>
      <c r="BL420" t="s">
        <v>1116</v>
      </c>
      <c r="BM420" t="s">
        <v>1194</v>
      </c>
      <c r="BN420" s="13"/>
      <c r="BO420" t="s">
        <v>973</v>
      </c>
      <c r="BP420" t="s">
        <v>973</v>
      </c>
      <c r="BQ420" t="s">
        <v>973</v>
      </c>
      <c r="BR420" t="s">
        <v>973</v>
      </c>
    </row>
    <row r="421" spans="1:70" x14ac:dyDescent="0.25">
      <c r="A421" t="s">
        <v>596</v>
      </c>
      <c r="B421" t="s">
        <v>149</v>
      </c>
      <c r="C421" t="s">
        <v>150</v>
      </c>
      <c r="D421" s="6"/>
      <c r="E421" s="9" t="str">
        <f>HYPERLINK("http://plants.ensembl.org/Triticum_aestivum/Gene/Summary?g=TRIAE_CS42_4DL_TGACv1_343139_AA1130420","TRIAE_CS42_4DL_TGACv1_343139_AA1130420")</f>
        <v>TRIAE_CS42_4DL_TGACv1_343139_AA1130420</v>
      </c>
      <c r="F421" s="9" t="str">
        <f>HYPERLINK("http://mar2016-plants.ensembl.org/Triticum_aestivum/Gene/Summary?db=core;g=Traes_4DL_E25D3DF01","Traes_4DL_E25D3DF01")</f>
        <v>Traes_4DL_E25D3DF01</v>
      </c>
      <c r="H421" s="8" t="str">
        <f>HYPERLINK("http://plants.ensembl.org/Brachypodium_distachyon/Gene/Summary?g=Bradi1g72590","Bradi1g72590")</f>
        <v>Bradi1g72590</v>
      </c>
      <c r="I421" s="1" t="s">
        <v>1051</v>
      </c>
      <c r="J421" s="9" t="str">
        <f>HYPERLINK("http://plants.ensembl.org/Oryza_sativa/Gene/Summary?db=otherfeatures;g=LOC_Os03g08330","LOC_Os03g08330")</f>
        <v>LOC_Os03g08330</v>
      </c>
      <c r="L421" s="6"/>
      <c r="M421" s="1" t="s">
        <v>973</v>
      </c>
      <c r="N421" s="1">
        <v>1</v>
      </c>
      <c r="O421" s="1" t="s">
        <v>973</v>
      </c>
      <c r="P421" s="1" t="s">
        <v>973</v>
      </c>
      <c r="Q421" s="1" t="s">
        <v>973</v>
      </c>
      <c r="R421" s="1" t="s">
        <v>973</v>
      </c>
      <c r="S421" s="1"/>
      <c r="T421" s="6"/>
      <c r="U421" s="11">
        <v>10.6939803166538</v>
      </c>
      <c r="V421" s="11">
        <v>11.448466884865388</v>
      </c>
      <c r="W421" s="11">
        <v>8.6434486911053447</v>
      </c>
      <c r="X421" s="11">
        <v>9.1811339486469556</v>
      </c>
      <c r="Y421" s="11">
        <v>9.3026315370481889</v>
      </c>
      <c r="Z421" s="11">
        <v>8.6931476170934872</v>
      </c>
      <c r="AA421" s="11">
        <v>9.1533742699194551</v>
      </c>
      <c r="AB421" s="11">
        <v>8.5231458144320573</v>
      </c>
      <c r="AC421" s="11">
        <v>5.358560365748481</v>
      </c>
      <c r="AD421" s="11">
        <v>5.4822739296737382</v>
      </c>
      <c r="AE421" s="11">
        <v>4.3159525974987858</v>
      </c>
      <c r="AF421" s="11">
        <v>4.8280323651513921</v>
      </c>
      <c r="AG421" s="11">
        <v>4.0855039728382945</v>
      </c>
      <c r="AH421" s="11">
        <v>3.7983236087559109</v>
      </c>
      <c r="AI421" s="11">
        <v>6.4646121828860066</v>
      </c>
      <c r="AJ421" s="11">
        <v>5.8273939426857879</v>
      </c>
      <c r="AK421" s="6"/>
      <c r="AL421" t="s">
        <v>1077</v>
      </c>
      <c r="AM421">
        <v>533</v>
      </c>
      <c r="AN421" s="6"/>
      <c r="AO421" s="20">
        <v>5.3141999999999996</v>
      </c>
      <c r="AP421" s="20">
        <v>5.8906999999999998</v>
      </c>
      <c r="AQ421" s="20">
        <v>4.3204000000000002</v>
      </c>
      <c r="AR421" s="20">
        <v>4.2998000000000003</v>
      </c>
      <c r="AS421" s="20">
        <v>5.2084000000000001</v>
      </c>
      <c r="AT421" s="20">
        <v>4.8936000000000002</v>
      </c>
      <c r="AU421" s="20">
        <v>2.6616</v>
      </c>
      <c r="AV421" s="20">
        <v>2.6751999999999998</v>
      </c>
      <c r="AW421" s="6"/>
      <c r="AX421" s="18">
        <v>3.7240000000000002E-21</v>
      </c>
      <c r="AY421" s="18">
        <v>5.5390000000000003E-24</v>
      </c>
      <c r="AZ421" s="18">
        <v>4.7749999999999998E-14</v>
      </c>
      <c r="BA421" s="18">
        <v>3.508E-14</v>
      </c>
      <c r="BB421" s="18">
        <v>4.9249999999999998E-20</v>
      </c>
      <c r="BC421" s="18">
        <v>7.7940000000000003E-17</v>
      </c>
      <c r="BD421" s="18">
        <v>1.5629999999999999E-6</v>
      </c>
      <c r="BE421" s="18">
        <v>1.6190000000000001E-6</v>
      </c>
      <c r="BF421" s="13"/>
      <c r="BG421" t="s">
        <v>1131</v>
      </c>
      <c r="BH421" t="s">
        <v>1144</v>
      </c>
      <c r="BI421" t="s">
        <v>1113</v>
      </c>
      <c r="BJ421" t="s">
        <v>1114</v>
      </c>
      <c r="BK421" t="s">
        <v>1115</v>
      </c>
      <c r="BL421" t="s">
        <v>1116</v>
      </c>
      <c r="BM421" t="s">
        <v>1117</v>
      </c>
      <c r="BN421" s="13"/>
      <c r="BO421" t="s">
        <v>973</v>
      </c>
      <c r="BP421" t="s">
        <v>973</v>
      </c>
      <c r="BQ421" t="s">
        <v>973</v>
      </c>
      <c r="BR421" t="s">
        <v>973</v>
      </c>
    </row>
    <row r="422" spans="1:70" x14ac:dyDescent="0.25">
      <c r="A422" t="s">
        <v>733</v>
      </c>
      <c r="B422" t="s">
        <v>149</v>
      </c>
      <c r="C422" t="s">
        <v>150</v>
      </c>
      <c r="D422" s="6"/>
      <c r="E422" s="9" t="str">
        <f>HYPERLINK("http://plants.ensembl.org/Triticum_aestivum/Gene/Summary?g=TRIAE_CS42_5DL_TGACv1_436873_AA1463710","TRIAE_CS42_5DL_TGACv1_436873_AA1463710")</f>
        <v>TRIAE_CS42_5DL_TGACv1_436873_AA1463710</v>
      </c>
      <c r="F422" s="9" t="str">
        <f>HYPERLINK("http://mar2016-plants.ensembl.org/Triticum_aestivum/Gene/Summary?db=core;g=Traes_5DL_4186C5347","Traes_5DL_4186C5347")</f>
        <v>Traes_5DL_4186C5347</v>
      </c>
      <c r="H422" s="8" t="str">
        <f>HYPERLINK("http://plants.ensembl.org/Brachypodium_distachyon/Gene/Summary?g=Bradi4g31240","Bradi4g31240")</f>
        <v>Bradi4g31240</v>
      </c>
      <c r="I422" s="1" t="s">
        <v>1051</v>
      </c>
      <c r="J422" s="9" t="str">
        <f>HYPERLINK("http://plants.ensembl.org/Oryza_sativa/Gene/Summary?db=otherfeatures;g=LOC_Os09g26780","LOC_Os09g26780")</f>
        <v>LOC_Os09g26780</v>
      </c>
      <c r="L422" s="6"/>
      <c r="M422" s="1" t="s">
        <v>973</v>
      </c>
      <c r="N422" s="1">
        <v>1</v>
      </c>
      <c r="O422" s="1" t="s">
        <v>973</v>
      </c>
      <c r="P422" s="1" t="s">
        <v>973</v>
      </c>
      <c r="Q422" s="1" t="s">
        <v>973</v>
      </c>
      <c r="R422" s="1" t="s">
        <v>973</v>
      </c>
      <c r="S422" s="1"/>
      <c r="T422" s="6"/>
      <c r="U422" s="11">
        <v>12.096286289725267</v>
      </c>
      <c r="V422" s="11">
        <v>12.89862798267634</v>
      </c>
      <c r="W422" s="11">
        <v>10.08617723573858</v>
      </c>
      <c r="X422" s="11">
        <v>10.473369013844382</v>
      </c>
      <c r="Y422" s="11">
        <v>10.898124843996875</v>
      </c>
      <c r="Z422" s="11">
        <v>10.416591081855604</v>
      </c>
      <c r="AA422" s="11">
        <v>10.006220870869706</v>
      </c>
      <c r="AB422" s="11">
        <v>10.295656108272539</v>
      </c>
      <c r="AC422" s="11">
        <v>7.0426695055642181</v>
      </c>
      <c r="AD422" s="11">
        <v>7.1752967085981201</v>
      </c>
      <c r="AE422" s="11">
        <v>6.6923802345961283</v>
      </c>
      <c r="AF422" s="11">
        <v>6.7951729742411136</v>
      </c>
      <c r="AG422" s="11">
        <v>6.2018853961205886</v>
      </c>
      <c r="AH422" s="11">
        <v>6.1477361053173789</v>
      </c>
      <c r="AI422" s="11">
        <v>7.0996861968995422</v>
      </c>
      <c r="AJ422" s="11">
        <v>7.6247169993798023</v>
      </c>
      <c r="AK422" s="6"/>
      <c r="AL422" t="s">
        <v>1077</v>
      </c>
      <c r="AM422" s="12">
        <v>4712</v>
      </c>
      <c r="AN422" s="6"/>
      <c r="AO422" s="20">
        <v>5.0304000000000002</v>
      </c>
      <c r="AP422" s="20">
        <v>5.6505999999999998</v>
      </c>
      <c r="AQ422" s="20">
        <v>3.38</v>
      </c>
      <c r="AR422" s="20">
        <v>3.6549999999999998</v>
      </c>
      <c r="AS422" s="20">
        <v>4.6778000000000004</v>
      </c>
      <c r="AT422" s="20">
        <v>4.2544000000000004</v>
      </c>
      <c r="AU422" s="20">
        <v>2.8948</v>
      </c>
      <c r="AV422" s="20">
        <v>2.6577000000000002</v>
      </c>
      <c r="AW422" s="6"/>
      <c r="AX422" s="18">
        <v>8.7130000000000002E-39</v>
      </c>
      <c r="AY422" s="18">
        <v>4.6789999999999997E-46</v>
      </c>
      <c r="AZ422" s="18">
        <v>2.3739999999999998E-18</v>
      </c>
      <c r="BA422" s="18">
        <v>3.6030000000000001E-21</v>
      </c>
      <c r="BB422" s="18">
        <v>9.6059999999999994E-34</v>
      </c>
      <c r="BC422" s="18">
        <v>1.441E-27</v>
      </c>
      <c r="BD422" s="18">
        <v>5.4430000000000001E-14</v>
      </c>
      <c r="BE422" s="18">
        <v>4.1880000000000003E-12</v>
      </c>
      <c r="BF422" s="13"/>
      <c r="BG422" t="s">
        <v>1131</v>
      </c>
      <c r="BH422" t="s">
        <v>1132</v>
      </c>
      <c r="BI422" t="s">
        <v>1254</v>
      </c>
      <c r="BJ422" t="s">
        <v>1114</v>
      </c>
      <c r="BK422" t="s">
        <v>1115</v>
      </c>
      <c r="BL422" t="s">
        <v>1116</v>
      </c>
      <c r="BM422" t="s">
        <v>1194</v>
      </c>
      <c r="BN422" s="13"/>
      <c r="BO422" t="s">
        <v>973</v>
      </c>
      <c r="BP422" t="s">
        <v>973</v>
      </c>
      <c r="BQ422" t="s">
        <v>973</v>
      </c>
      <c r="BR422" t="s">
        <v>973</v>
      </c>
    </row>
    <row r="423" spans="1:70" x14ac:dyDescent="0.25">
      <c r="A423" t="s">
        <v>940</v>
      </c>
      <c r="B423" t="s">
        <v>149</v>
      </c>
      <c r="C423" t="s">
        <v>150</v>
      </c>
      <c r="D423" s="6"/>
      <c r="E423" s="9" t="str">
        <f>HYPERLINK("http://plants.ensembl.org/Triticum_aestivum/Gene/Summary?g=TRIAE_CS42_7DS_TGACv1_621664_AA2022610","TRIAE_CS42_7DS_TGACv1_621664_AA2022610")</f>
        <v>TRIAE_CS42_7DS_TGACv1_621664_AA2022610</v>
      </c>
      <c r="F423" s="9" t="str">
        <f>HYPERLINK("http://mar2016-plants.ensembl.org/Triticum_aestivum/Gene/Summary?db=core;g=Traes_7DS_A285B6B8E","Traes_7DS_A285B6B8E")</f>
        <v>Traes_7DS_A285B6B8E</v>
      </c>
      <c r="H423" s="1" t="s">
        <v>1051</v>
      </c>
      <c r="I423" s="1" t="s">
        <v>1051</v>
      </c>
      <c r="J423" s="1" t="s">
        <v>1051</v>
      </c>
      <c r="L423" s="6"/>
      <c r="M423" s="1" t="s">
        <v>973</v>
      </c>
      <c r="N423" s="1">
        <v>1</v>
      </c>
      <c r="O423" s="1" t="s">
        <v>973</v>
      </c>
      <c r="P423" s="1" t="s">
        <v>973</v>
      </c>
      <c r="Q423" s="1" t="s">
        <v>973</v>
      </c>
      <c r="R423" s="1" t="s">
        <v>973</v>
      </c>
      <c r="S423" s="1"/>
      <c r="T423" s="6"/>
      <c r="U423" s="11">
        <v>6.897555476414861</v>
      </c>
      <c r="V423" s="11">
        <v>7.2974314177122741</v>
      </c>
      <c r="W423" s="11">
        <v>4.8252004949644549</v>
      </c>
      <c r="X423" s="11">
        <v>5.6745952953076282</v>
      </c>
      <c r="Y423" s="11">
        <v>6.0819964234741652</v>
      </c>
      <c r="Z423" s="11">
        <v>5.8426503760184056</v>
      </c>
      <c r="AA423" s="11">
        <v>5.1558584990912806</v>
      </c>
      <c r="AB423" s="11">
        <v>5.0941121797063804</v>
      </c>
      <c r="AC423" s="11">
        <v>1.7770023212988284</v>
      </c>
      <c r="AD423" s="11">
        <v>0.70327792398137323</v>
      </c>
      <c r="AE423" s="11">
        <v>0.93947735037630908</v>
      </c>
      <c r="AF423" s="11">
        <v>0.8978857823473092</v>
      </c>
      <c r="AG423" s="11">
        <v>0</v>
      </c>
      <c r="AH423" s="11">
        <v>0.40355859560642487</v>
      </c>
      <c r="AI423" s="11">
        <v>3.0191503472896115</v>
      </c>
      <c r="AJ423" s="11">
        <v>1.6181133346224008</v>
      </c>
      <c r="AK423" s="6"/>
      <c r="AL423" t="s">
        <v>1077</v>
      </c>
      <c r="AM423">
        <v>900</v>
      </c>
      <c r="AN423" s="6"/>
      <c r="AO423" s="20">
        <v>5.6826999999999996</v>
      </c>
      <c r="AP423" s="20">
        <v>6.9622000000000002</v>
      </c>
      <c r="AQ423" s="20">
        <v>4.8358999999999996</v>
      </c>
      <c r="AR423" s="20">
        <v>5.3792999999999997</v>
      </c>
      <c r="AS423" s="20">
        <v>8.5831</v>
      </c>
      <c r="AT423" s="20">
        <v>6.8375000000000004</v>
      </c>
      <c r="AU423" s="20">
        <v>2.2605</v>
      </c>
      <c r="AV423" s="20">
        <v>3.9245000000000001</v>
      </c>
      <c r="AW423" s="6"/>
      <c r="AX423" s="18">
        <v>1.3499999999999999E-18</v>
      </c>
      <c r="AY423" s="18">
        <v>1.3549999999999999E-15</v>
      </c>
      <c r="AZ423" s="18">
        <v>4.2890000000000004E-9</v>
      </c>
      <c r="BA423" s="18">
        <v>2.3499999999999999E-12</v>
      </c>
      <c r="BB423" s="18">
        <v>6.9759999999999998E-15</v>
      </c>
      <c r="BC423" s="18">
        <v>1.8180000000000001E-10</v>
      </c>
      <c r="BD423" s="18">
        <v>2.441E-6</v>
      </c>
      <c r="BE423" s="18">
        <v>4.4940000000000002E-10</v>
      </c>
      <c r="BF423" s="13"/>
      <c r="BG423" t="s">
        <v>1191</v>
      </c>
      <c r="BH423" t="s">
        <v>1144</v>
      </c>
      <c r="BI423" t="s">
        <v>1113</v>
      </c>
      <c r="BJ423" t="s">
        <v>1114</v>
      </c>
      <c r="BK423" t="s">
        <v>1115</v>
      </c>
      <c r="BL423" t="s">
        <v>1116</v>
      </c>
      <c r="BM423" t="s">
        <v>1117</v>
      </c>
      <c r="BN423" s="13"/>
      <c r="BO423" t="s">
        <v>973</v>
      </c>
      <c r="BP423" t="s">
        <v>973</v>
      </c>
      <c r="BQ423" t="s">
        <v>973</v>
      </c>
      <c r="BR423" t="s">
        <v>973</v>
      </c>
    </row>
    <row r="424" spans="1:70" x14ac:dyDescent="0.25">
      <c r="A424" t="s">
        <v>942</v>
      </c>
      <c r="B424" t="s">
        <v>149</v>
      </c>
      <c r="C424" t="s">
        <v>150</v>
      </c>
      <c r="D424" s="6"/>
      <c r="E424" s="9" t="str">
        <f>HYPERLINK("http://plants.ensembl.org/Triticum_aestivum/Gene/Summary?g=TRIAE_CS42_7DS_TGACv1_622892_AA2046890","TRIAE_CS42_7DS_TGACv1_622892_AA2046890")</f>
        <v>TRIAE_CS42_7DS_TGACv1_622892_AA2046890</v>
      </c>
      <c r="F424" s="9" t="str">
        <f>HYPERLINK("http://mar2016-plants.ensembl.org/Triticum_aestivum/Gene/Summary?db=core;g=Traes_7DS_9764DBD72","Traes_7DS_9764DBD72")</f>
        <v>Traes_7DS_9764DBD72</v>
      </c>
      <c r="H424" s="1" t="s">
        <v>1051</v>
      </c>
      <c r="I424" s="1" t="s">
        <v>1051</v>
      </c>
      <c r="J424" s="1" t="s">
        <v>1051</v>
      </c>
      <c r="L424" s="6"/>
      <c r="M424" s="1" t="s">
        <v>973</v>
      </c>
      <c r="N424" s="1">
        <v>1</v>
      </c>
      <c r="O424" s="1" t="s">
        <v>973</v>
      </c>
      <c r="P424" s="1" t="s">
        <v>973</v>
      </c>
      <c r="Q424" s="1" t="s">
        <v>973</v>
      </c>
      <c r="R424" s="1" t="s">
        <v>973</v>
      </c>
      <c r="S424" s="1"/>
      <c r="T424" s="6"/>
      <c r="U424" s="11">
        <v>5.7258656467364695</v>
      </c>
      <c r="V424" s="11">
        <v>7.204100928363772</v>
      </c>
      <c r="W424" s="11">
        <v>3.6355686744119442</v>
      </c>
      <c r="X424" s="11">
        <v>4.3820354454501853</v>
      </c>
      <c r="Y424" s="11">
        <v>4.9507467857530356</v>
      </c>
      <c r="Z424" s="11">
        <v>4.6916179102656761</v>
      </c>
      <c r="AA424" s="11">
        <v>4.1729594824863199</v>
      </c>
      <c r="AB424" s="11">
        <v>3.6315001250000432</v>
      </c>
      <c r="AC424" s="11">
        <v>1.4152719181769684</v>
      </c>
      <c r="AD424" s="11">
        <v>0.97063281676969426</v>
      </c>
      <c r="AE424" s="11">
        <v>0.85713171087580786</v>
      </c>
      <c r="AF424" s="11">
        <v>0</v>
      </c>
      <c r="AG424" s="11">
        <v>0.43303064971659827</v>
      </c>
      <c r="AH424" s="11">
        <v>0</v>
      </c>
      <c r="AI424" s="11">
        <v>1.4446847338295077</v>
      </c>
      <c r="AJ424" s="11">
        <v>1.1919626420322624</v>
      </c>
      <c r="AK424" s="6"/>
      <c r="AL424" t="s">
        <v>1077</v>
      </c>
      <c r="AM424" s="12">
        <v>3441</v>
      </c>
      <c r="AN424" s="6"/>
      <c r="AO424" s="20">
        <v>5.0519999999999996</v>
      </c>
      <c r="AP424" s="20">
        <v>6.3434999999999997</v>
      </c>
      <c r="AQ424" s="20">
        <v>3.5669</v>
      </c>
      <c r="AR424" s="20">
        <v>6.2119999999999997</v>
      </c>
      <c r="AS424" s="20">
        <v>5.9496000000000002</v>
      </c>
      <c r="AT424" s="20">
        <v>6.4776999999999996</v>
      </c>
      <c r="AU424" s="20">
        <v>3.1314000000000002</v>
      </c>
      <c r="AV424" s="20">
        <v>2.9803999999999999</v>
      </c>
      <c r="AW424" s="6"/>
      <c r="AX424" s="18">
        <v>2.3029999999999999E-7</v>
      </c>
      <c r="AY424" s="18">
        <v>8.4399999999999998E-10</v>
      </c>
      <c r="AZ424" s="18">
        <v>6.4070000000000002E-4</v>
      </c>
      <c r="BA424" s="18">
        <v>7.3129999999999999E-7</v>
      </c>
      <c r="BB424" s="18">
        <v>6.3580000000000004E-8</v>
      </c>
      <c r="BC424" s="18">
        <v>2.2600000000000001E-7</v>
      </c>
      <c r="BD424" s="18">
        <v>6.4740000000000002E-4</v>
      </c>
      <c r="BE424" s="18">
        <v>2.1640000000000001E-3</v>
      </c>
      <c r="BF424" s="13"/>
      <c r="BG424" t="s">
        <v>1125</v>
      </c>
      <c r="BH424" t="s">
        <v>1126</v>
      </c>
      <c r="BI424" t="s">
        <v>1113</v>
      </c>
      <c r="BJ424" t="s">
        <v>1114</v>
      </c>
      <c r="BK424" t="s">
        <v>1115</v>
      </c>
      <c r="BL424" t="s">
        <v>1116</v>
      </c>
      <c r="BM424" t="s">
        <v>1117</v>
      </c>
      <c r="BN424" s="13"/>
      <c r="BO424" t="s">
        <v>973</v>
      </c>
      <c r="BP424">
        <v>1</v>
      </c>
      <c r="BQ424" t="s">
        <v>973</v>
      </c>
      <c r="BR424" t="s">
        <v>973</v>
      </c>
    </row>
    <row r="425" spans="1:70" x14ac:dyDescent="0.25">
      <c r="A425" t="s">
        <v>177</v>
      </c>
      <c r="B425" t="s">
        <v>178</v>
      </c>
      <c r="C425" t="s">
        <v>179</v>
      </c>
      <c r="D425" s="6"/>
      <c r="E425" s="9" t="str">
        <f>HYPERLINK("http://plants.ensembl.org/Triticum_aestivum/Gene/Summary?g=TRIAE_CS42_2AL_TGACv1_093359_AA0278410","TRIAE_CS42_2AL_TGACv1_093359_AA0278410")</f>
        <v>TRIAE_CS42_2AL_TGACv1_093359_AA0278410</v>
      </c>
      <c r="F425" s="9" t="str">
        <f>HYPERLINK("http://mar2016-plants.ensembl.org/Triticum_aestivum/Gene/Summary?db=core;g=Traes_2AL_46576945E","Traes_2AL_46576945E")</f>
        <v>Traes_2AL_46576945E</v>
      </c>
      <c r="H425" s="8" t="str">
        <f>HYPERLINK("http://plants.ensembl.org/Brachypodium_distachyon/Gene/Summary?g=Bradi5g24410","Bradi5g24410")</f>
        <v>Bradi5g24410</v>
      </c>
      <c r="I425" s="8" t="str">
        <f>HYPERLINK("http://plants.ensembl.org/Arabidopsis_thaliana/Gene/Summary?g=AT5G20900","AT5G20900")</f>
        <v>AT5G20900</v>
      </c>
      <c r="J425" s="9" t="str">
        <f>HYPERLINK("http://plants.ensembl.org/Oryza_sativa/Gene/Summary?db=otherfeatures;g=LOC_Os04g55920","LOC_Os04g55920")</f>
        <v>LOC_Os04g55920</v>
      </c>
      <c r="L425" s="6"/>
      <c r="M425" s="1" t="s">
        <v>973</v>
      </c>
      <c r="N425" s="1">
        <v>1</v>
      </c>
      <c r="O425" s="1" t="s">
        <v>973</v>
      </c>
      <c r="P425" s="1" t="s">
        <v>973</v>
      </c>
      <c r="Q425" s="1" t="s">
        <v>973</v>
      </c>
      <c r="R425" s="1" t="s">
        <v>973</v>
      </c>
      <c r="S425" s="1"/>
      <c r="T425" s="6"/>
      <c r="U425" s="11">
        <v>9.5686663502360396</v>
      </c>
      <c r="V425" s="11">
        <v>9.8587267130136826</v>
      </c>
      <c r="W425" s="11">
        <v>9.5245570593006903</v>
      </c>
      <c r="X425" s="11">
        <v>9.4609599835623559</v>
      </c>
      <c r="Y425" s="11">
        <v>10.092846579955372</v>
      </c>
      <c r="Z425" s="11">
        <v>9.4111887995776264</v>
      </c>
      <c r="AA425" s="11">
        <v>10.211846407935218</v>
      </c>
      <c r="AB425" s="11">
        <v>9.1919003973781166</v>
      </c>
      <c r="AC425" s="11">
        <v>8.934492814238741</v>
      </c>
      <c r="AD425" s="11">
        <v>8.9271025713889447</v>
      </c>
      <c r="AE425" s="11">
        <v>9.4500992587224957</v>
      </c>
      <c r="AF425" s="11">
        <v>9.0624777570159765</v>
      </c>
      <c r="AG425" s="11">
        <v>9.3877020830577536</v>
      </c>
      <c r="AH425" s="11">
        <v>8.9850407864644914</v>
      </c>
      <c r="AI425" s="11">
        <v>9.240358458715427</v>
      </c>
      <c r="AJ425" s="11">
        <v>8.9531816071575356</v>
      </c>
      <c r="AK425" s="6"/>
      <c r="AL425" t="s">
        <v>1077</v>
      </c>
      <c r="AM425">
        <v>0</v>
      </c>
      <c r="AN425" s="6"/>
      <c r="AO425" s="20">
        <v>0.63239999999999996</v>
      </c>
      <c r="AP425" s="20">
        <v>0.90369999999999995</v>
      </c>
      <c r="AQ425" s="20">
        <v>7.5200000000000003E-2</v>
      </c>
      <c r="AR425" s="20">
        <v>0.39679999999999999</v>
      </c>
      <c r="AS425" s="20">
        <v>0.7036</v>
      </c>
      <c r="AT425" s="20">
        <v>0.4259</v>
      </c>
      <c r="AU425" s="20">
        <v>0.96950000000000003</v>
      </c>
      <c r="AV425" s="20">
        <v>0.23810000000000001</v>
      </c>
      <c r="AW425" s="6"/>
      <c r="AX425" s="18">
        <v>2.0969999999999999E-2</v>
      </c>
      <c r="AY425" s="18">
        <v>1.356E-3</v>
      </c>
      <c r="AZ425" s="18">
        <v>0.78080000000000005</v>
      </c>
      <c r="BA425" s="18">
        <v>0.14349999999999999</v>
      </c>
      <c r="BB425" s="18">
        <v>9.0600000000000003E-3</v>
      </c>
      <c r="BC425" s="18">
        <v>0.1164</v>
      </c>
      <c r="BD425" s="18">
        <v>3.2709999999999998E-4</v>
      </c>
      <c r="BE425" s="18">
        <v>0.3805</v>
      </c>
      <c r="BF425" s="13"/>
      <c r="BG425" t="s">
        <v>1111</v>
      </c>
      <c r="BH425" t="s">
        <v>1112</v>
      </c>
      <c r="BI425" t="s">
        <v>1113</v>
      </c>
      <c r="BJ425" t="s">
        <v>1217</v>
      </c>
      <c r="BK425" t="s">
        <v>1115</v>
      </c>
      <c r="BL425" t="s">
        <v>1116</v>
      </c>
      <c r="BM425" t="s">
        <v>1117</v>
      </c>
      <c r="BN425" s="13"/>
      <c r="BO425" t="s">
        <v>973</v>
      </c>
      <c r="BP425" t="s">
        <v>973</v>
      </c>
      <c r="BQ425" t="s">
        <v>973</v>
      </c>
      <c r="BR425" t="s">
        <v>973</v>
      </c>
    </row>
    <row r="426" spans="1:70" x14ac:dyDescent="0.25">
      <c r="A426" t="s">
        <v>235</v>
      </c>
      <c r="B426" t="s">
        <v>178</v>
      </c>
      <c r="C426" t="s">
        <v>179</v>
      </c>
      <c r="D426" s="6"/>
      <c r="E426" s="9" t="str">
        <f>HYPERLINK("http://plants.ensembl.org/Triticum_aestivum/Gene/Summary?g=TRIAE_CS42_2BL_TGACv1_130655_AA0415390","TRIAE_CS42_2BL_TGACv1_130655_AA0415390")</f>
        <v>TRIAE_CS42_2BL_TGACv1_130655_AA0415390</v>
      </c>
      <c r="F426" s="9" t="str">
        <f>HYPERLINK("http://mar2016-plants.ensembl.org/Triticum_aestivum/Gene/Summary?db=core;g=Traes_2BL_0614A2B97","Traes_2BL_0614A2B97")</f>
        <v>Traes_2BL_0614A2B97</v>
      </c>
      <c r="H426" s="8" t="str">
        <f>HYPERLINK("http://plants.ensembl.org/Brachypodium_distachyon/Gene/Summary?g=Bradi5g24410","Bradi5g24410")</f>
        <v>Bradi5g24410</v>
      </c>
      <c r="I426" s="8" t="str">
        <f>HYPERLINK("http://plants.ensembl.org/Arabidopsis_thaliana/Gene/Summary?g=AT5G20900","AT5G20900")</f>
        <v>AT5G20900</v>
      </c>
      <c r="J426" s="9" t="str">
        <f>HYPERLINK("http://plants.ensembl.org/Oryza_sativa/Gene/Summary?db=otherfeatures;g=LOC_Os04g55920","LOC_Os04g55920")</f>
        <v>LOC_Os04g55920</v>
      </c>
      <c r="L426" s="6"/>
      <c r="M426" s="1" t="s">
        <v>973</v>
      </c>
      <c r="N426" s="1">
        <v>1</v>
      </c>
      <c r="O426" s="1" t="s">
        <v>973</v>
      </c>
      <c r="P426" s="1" t="s">
        <v>973</v>
      </c>
      <c r="Q426" s="1" t="s">
        <v>973</v>
      </c>
      <c r="R426" s="1" t="s">
        <v>973</v>
      </c>
      <c r="S426" s="1"/>
      <c r="T426" s="6"/>
      <c r="U426" s="11">
        <v>8.9334925781096786</v>
      </c>
      <c r="V426" s="11">
        <v>8.9775698646162194</v>
      </c>
      <c r="W426" s="11">
        <v>6.6579872048035833</v>
      </c>
      <c r="X426" s="11">
        <v>6.7004415677489337</v>
      </c>
      <c r="Y426" s="11">
        <v>9.5839409815728533</v>
      </c>
      <c r="Z426" s="11">
        <v>8.5880542172614902</v>
      </c>
      <c r="AA426" s="11">
        <v>9.5459098896723571</v>
      </c>
      <c r="AB426" s="11">
        <v>8.5153497648864516</v>
      </c>
      <c r="AC426" s="11">
        <v>8.8064157912471721</v>
      </c>
      <c r="AD426" s="11">
        <v>8.2405794033747934</v>
      </c>
      <c r="AE426" s="11">
        <v>6.8334733018621945</v>
      </c>
      <c r="AF426" s="11">
        <v>6.6877302622922494</v>
      </c>
      <c r="AG426" s="11">
        <v>8.9244973125450624</v>
      </c>
      <c r="AH426" s="11">
        <v>8.3157564083462265</v>
      </c>
      <c r="AI426" s="11">
        <v>8.6098794111145907</v>
      </c>
      <c r="AJ426" s="11">
        <v>8.2796410672868834</v>
      </c>
      <c r="AK426" s="6"/>
      <c r="AL426" t="s">
        <v>1091</v>
      </c>
      <c r="AM426">
        <v>0</v>
      </c>
      <c r="AN426" s="6"/>
      <c r="AO426" s="20">
        <v>0.1236</v>
      </c>
      <c r="AP426" s="20">
        <v>0.72919999999999996</v>
      </c>
      <c r="AQ426" s="20">
        <v>-0.17349999999999999</v>
      </c>
      <c r="AR426" s="20">
        <v>8.8999999999999999E-3</v>
      </c>
      <c r="AS426" s="20">
        <v>0.65949999999999998</v>
      </c>
      <c r="AT426" s="20">
        <v>0.27200000000000002</v>
      </c>
      <c r="AU426" s="20">
        <v>0.9355</v>
      </c>
      <c r="AV426" s="20">
        <v>0.2351</v>
      </c>
      <c r="AW426" s="6"/>
      <c r="AX426" s="18">
        <v>0.5948</v>
      </c>
      <c r="AY426" s="18">
        <v>3.3419999999999999E-3</v>
      </c>
      <c r="AZ426" s="18">
        <v>0.47560000000000002</v>
      </c>
      <c r="BA426" s="18">
        <v>0.97130000000000005</v>
      </c>
      <c r="BB426" s="18">
        <v>3.4359999999999998E-3</v>
      </c>
      <c r="BC426" s="18">
        <v>0.23549999999999999</v>
      </c>
      <c r="BD426" s="18">
        <v>3.5519999999999999E-5</v>
      </c>
      <c r="BE426" s="18">
        <v>0.30580000000000002</v>
      </c>
      <c r="BF426" s="13"/>
      <c r="BG426" t="s">
        <v>1111</v>
      </c>
      <c r="BH426" t="s">
        <v>1341</v>
      </c>
      <c r="BI426" t="s">
        <v>1224</v>
      </c>
      <c r="BJ426" t="s">
        <v>1217</v>
      </c>
      <c r="BK426" t="s">
        <v>1115</v>
      </c>
      <c r="BL426" t="s">
        <v>1340</v>
      </c>
      <c r="BM426" t="s">
        <v>1170</v>
      </c>
      <c r="BN426" s="13"/>
      <c r="BO426" t="s">
        <v>973</v>
      </c>
      <c r="BP426" t="s">
        <v>973</v>
      </c>
      <c r="BQ426" t="s">
        <v>973</v>
      </c>
      <c r="BR426" t="s">
        <v>973</v>
      </c>
    </row>
    <row r="427" spans="1:70" x14ac:dyDescent="0.25">
      <c r="A427" t="s">
        <v>207</v>
      </c>
      <c r="B427" t="s">
        <v>208</v>
      </c>
      <c r="C427" t="s">
        <v>209</v>
      </c>
      <c r="D427" s="6"/>
      <c r="E427" s="9" t="str">
        <f>HYPERLINK("http://plants.ensembl.org/Triticum_aestivum/Gene/Summary?g=TRIAE_CS42_2BL_TGACv1_129673_AA0392230","TRIAE_CS42_2BL_TGACv1_129673_AA0392230")</f>
        <v>TRIAE_CS42_2BL_TGACv1_129673_AA0392230</v>
      </c>
      <c r="H427" s="8" t="str">
        <f>HYPERLINK("http://plants.ensembl.org/Brachypodium_distachyon/Gene/Summary?g=Bradi1g58491","Bradi1g58491")</f>
        <v>Bradi1g58491</v>
      </c>
      <c r="I427" s="8" t="str">
        <f>HYPERLINK("http://plants.ensembl.org/Arabidopsis_thaliana/Gene/Summary?g=AT1G30135","AT1G30135")</f>
        <v>AT1G30135</v>
      </c>
      <c r="J427" s="9" t="str">
        <f>HYPERLINK("http://plants.ensembl.org/Oryza_sativa/Gene/Summary?db=otherfeatures;g=LOC_Os07g05830","LOC_Os07g05830")</f>
        <v>LOC_Os07g05830</v>
      </c>
      <c r="L427" s="6"/>
      <c r="M427" s="1" t="s">
        <v>973</v>
      </c>
      <c r="N427" s="1">
        <v>1</v>
      </c>
      <c r="O427" s="1" t="s">
        <v>973</v>
      </c>
      <c r="P427" s="1" t="s">
        <v>973</v>
      </c>
      <c r="Q427" s="1" t="s">
        <v>973</v>
      </c>
      <c r="R427" s="1" t="s">
        <v>973</v>
      </c>
      <c r="S427" s="1"/>
      <c r="T427" s="6"/>
      <c r="U427" s="11">
        <v>8.8485992604248569</v>
      </c>
      <c r="V427" s="11">
        <v>9.1320638777855994</v>
      </c>
      <c r="W427" s="11">
        <v>6.6744531186717495</v>
      </c>
      <c r="X427" s="11">
        <v>7.1157189179519591</v>
      </c>
      <c r="Y427" s="11">
        <v>1.6494621765472341</v>
      </c>
      <c r="Z427" s="11">
        <v>1.5666041114529037</v>
      </c>
      <c r="AA427" s="11">
        <v>5.9933845257252232</v>
      </c>
      <c r="AB427" s="11">
        <v>6.1491584069208569</v>
      </c>
      <c r="AC427" s="11">
        <v>1.6465620701390857</v>
      </c>
      <c r="AD427" s="11">
        <v>0.71861369897548444</v>
      </c>
      <c r="AE427" s="11">
        <v>2.3161360856677256</v>
      </c>
      <c r="AF427" s="11">
        <v>1.1209490686299957</v>
      </c>
      <c r="AG427" s="11">
        <v>0.26767561635783277</v>
      </c>
      <c r="AH427" s="11">
        <v>0.40355859560642487</v>
      </c>
      <c r="AI427" s="11">
        <v>1.6634205287102863</v>
      </c>
      <c r="AJ427" s="11">
        <v>1.8406982086897097</v>
      </c>
      <c r="AK427" s="6"/>
      <c r="AL427" t="s">
        <v>1077</v>
      </c>
      <c r="AM427">
        <v>0</v>
      </c>
      <c r="AN427" s="6"/>
      <c r="AO427" s="20">
        <v>7.5983999999999998</v>
      </c>
      <c r="AP427" s="20">
        <v>8.6820000000000004</v>
      </c>
      <c r="AQ427" s="20">
        <v>4.5727000000000002</v>
      </c>
      <c r="AR427" s="20">
        <v>6.3372999999999999</v>
      </c>
      <c r="AS427" s="20">
        <v>2.8382999999999998</v>
      </c>
      <c r="AT427" s="20">
        <v>2.1444999999999999</v>
      </c>
      <c r="AU427" s="20">
        <v>4.6761999999999997</v>
      </c>
      <c r="AV427" s="20">
        <v>4.6482999999999999</v>
      </c>
      <c r="AW427" s="6"/>
      <c r="AX427" s="18">
        <v>2.2339999999999999E-23</v>
      </c>
      <c r="AY427" s="18">
        <v>5.5189999999999998E-20</v>
      </c>
      <c r="AZ427" s="18">
        <v>1.234E-11</v>
      </c>
      <c r="BA427" s="18">
        <v>3.2380000000000002E-15</v>
      </c>
      <c r="BB427" s="18">
        <v>1.7729999999999999E-2</v>
      </c>
      <c r="BC427" s="18">
        <v>7.6850000000000002E-2</v>
      </c>
      <c r="BD427" s="18">
        <v>1.682E-10</v>
      </c>
      <c r="BE427" s="18">
        <v>9.0279999999999997E-11</v>
      </c>
      <c r="BF427" s="13"/>
      <c r="BG427" t="s">
        <v>1305</v>
      </c>
      <c r="BH427" t="s">
        <v>1132</v>
      </c>
      <c r="BI427" t="s">
        <v>1113</v>
      </c>
      <c r="BJ427" t="s">
        <v>1114</v>
      </c>
      <c r="BK427" t="s">
        <v>1115</v>
      </c>
      <c r="BL427" t="s">
        <v>1230</v>
      </c>
      <c r="BM427" t="s">
        <v>1117</v>
      </c>
      <c r="BN427" s="13"/>
      <c r="BO427" t="s">
        <v>973</v>
      </c>
      <c r="BP427" t="s">
        <v>973</v>
      </c>
      <c r="BQ427" t="s">
        <v>973</v>
      </c>
      <c r="BR427" t="s">
        <v>973</v>
      </c>
    </row>
    <row r="428" spans="1:70" x14ac:dyDescent="0.25">
      <c r="A428" t="s">
        <v>255</v>
      </c>
      <c r="B428" t="s">
        <v>256</v>
      </c>
      <c r="C428" t="s">
        <v>209</v>
      </c>
      <c r="D428" s="6"/>
      <c r="E428" s="9" t="str">
        <f>HYPERLINK("http://plants.ensembl.org/Triticum_aestivum/Gene/Summary?g=TRIAE_CS42_2DS_TGACv1_177894_AA0586810","TRIAE_CS42_2DS_TGACv1_177894_AA0586810")</f>
        <v>TRIAE_CS42_2DS_TGACv1_177894_AA0586810</v>
      </c>
      <c r="F428" s="9" t="str">
        <f>HYPERLINK("http://mar2016-plants.ensembl.org/Triticum_aestivum/Gene/Summary?db=core;g=Traes_2DS_C0C75D1D7","Traes_2DS_C0C75D1D7")</f>
        <v>Traes_2DS_C0C75D1D7</v>
      </c>
      <c r="H428" s="8" t="str">
        <f>HYPERLINK("http://plants.ensembl.org/Brachypodium_distachyon/Gene/Summary?g=Bradi1g21490","Bradi1g21490")</f>
        <v>Bradi1g21490</v>
      </c>
      <c r="I428" s="8" t="str">
        <f>HYPERLINK("http://plants.ensembl.org/Arabidopsis_thaliana/Gene/Summary?g=AT1G19180","AT1G19180")</f>
        <v>AT1G19180</v>
      </c>
      <c r="J428" s="9" t="str">
        <f>HYPERLINK("http://plants.ensembl.org/Oryza_sativa/Gene/Summary?db=otherfeatures;g=LOC_Os07g42370","LOC_Os07g42370")</f>
        <v>LOC_Os07g42370</v>
      </c>
      <c r="L428" s="6"/>
      <c r="M428" s="1" t="s">
        <v>973</v>
      </c>
      <c r="N428" s="1">
        <v>1</v>
      </c>
      <c r="O428" s="1" t="s">
        <v>973</v>
      </c>
      <c r="P428" s="1" t="s">
        <v>973</v>
      </c>
      <c r="Q428" s="1" t="s">
        <v>973</v>
      </c>
      <c r="R428" s="1" t="s">
        <v>973</v>
      </c>
      <c r="S428" s="1"/>
      <c r="T428" s="6"/>
      <c r="U428" s="11">
        <v>11.14273179196706</v>
      </c>
      <c r="V428" s="11">
        <v>11.199242764237615</v>
      </c>
      <c r="W428" s="11">
        <v>10.189306594385215</v>
      </c>
      <c r="X428" s="11">
        <v>10.23323522639617</v>
      </c>
      <c r="Y428" s="11">
        <v>10.242948395943889</v>
      </c>
      <c r="Z428" s="11">
        <v>9.8186281896122054</v>
      </c>
      <c r="AA428" s="11">
        <v>9.8898720052340678</v>
      </c>
      <c r="AB428" s="11">
        <v>10.070447605224944</v>
      </c>
      <c r="AC428" s="11">
        <v>8.9585710812811286</v>
      </c>
      <c r="AD428" s="11">
        <v>8.3457328561703275</v>
      </c>
      <c r="AE428" s="11">
        <v>8.6055127299143876</v>
      </c>
      <c r="AF428" s="11">
        <v>8.3968225246535013</v>
      </c>
      <c r="AG428" s="11">
        <v>8.3868414045785062</v>
      </c>
      <c r="AH428" s="11">
        <v>7.9811179929607574</v>
      </c>
      <c r="AI428" s="11">
        <v>8.9893759545064498</v>
      </c>
      <c r="AJ428" s="11">
        <v>8.4321308164085131</v>
      </c>
      <c r="AK428" s="6"/>
      <c r="AL428" t="s">
        <v>1077</v>
      </c>
      <c r="AM428">
        <v>770</v>
      </c>
      <c r="AN428" s="6"/>
      <c r="AO428" s="20">
        <v>2.1850000000000001</v>
      </c>
      <c r="AP428" s="20">
        <v>2.8496999999999999</v>
      </c>
      <c r="AQ428" s="20">
        <v>1.5799000000000001</v>
      </c>
      <c r="AR428" s="20">
        <v>1.8297000000000001</v>
      </c>
      <c r="AS428" s="20">
        <v>1.8514999999999999</v>
      </c>
      <c r="AT428" s="20">
        <v>1.8339000000000001</v>
      </c>
      <c r="AU428" s="20">
        <v>0.89980000000000004</v>
      </c>
      <c r="AV428" s="20">
        <v>1.6351</v>
      </c>
      <c r="AW428" s="6"/>
      <c r="AX428" s="18">
        <v>5.9159999999999999E-16</v>
      </c>
      <c r="AY428" s="18">
        <v>2.5789999999999999E-24</v>
      </c>
      <c r="AZ428" s="18">
        <v>4.6909999999999996E-9</v>
      </c>
      <c r="BA428" s="18">
        <v>1.361E-11</v>
      </c>
      <c r="BB428" s="18">
        <v>6.1900000000000001E-12</v>
      </c>
      <c r="BC428" s="18">
        <v>1.533E-11</v>
      </c>
      <c r="BD428" s="18">
        <v>8.2589999999999996E-4</v>
      </c>
      <c r="BE428" s="18">
        <v>1.438E-9</v>
      </c>
      <c r="BF428" s="13"/>
      <c r="BG428" t="s">
        <v>1190</v>
      </c>
      <c r="BH428" t="s">
        <v>1285</v>
      </c>
      <c r="BI428" t="s">
        <v>1113</v>
      </c>
      <c r="BJ428" t="s">
        <v>1114</v>
      </c>
      <c r="BK428" t="s">
        <v>1115</v>
      </c>
      <c r="BL428" t="s">
        <v>1116</v>
      </c>
      <c r="BM428" t="s">
        <v>1117</v>
      </c>
      <c r="BN428" s="13"/>
      <c r="BO428" t="s">
        <v>973</v>
      </c>
      <c r="BP428" t="s">
        <v>973</v>
      </c>
      <c r="BQ428" t="s">
        <v>973</v>
      </c>
      <c r="BR428" t="s">
        <v>973</v>
      </c>
    </row>
    <row r="429" spans="1:70" x14ac:dyDescent="0.25">
      <c r="A429" t="s">
        <v>260</v>
      </c>
      <c r="B429" t="s">
        <v>208</v>
      </c>
      <c r="C429" t="s">
        <v>209</v>
      </c>
      <c r="D429" s="6"/>
      <c r="E429" s="9" t="str">
        <f>HYPERLINK("http://plants.ensembl.org/Triticum_aestivum/Gene/Summary?g=TRIAE_CS42_2DL_TGACv1_158907_AA0528500","TRIAE_CS42_2DL_TGACv1_158907_AA0528500")</f>
        <v>TRIAE_CS42_2DL_TGACv1_158907_AA0528500</v>
      </c>
      <c r="H429" s="8" t="str">
        <f>HYPERLINK("http://plants.ensembl.org/Brachypodium_distachyon/Gene/Summary?g=Bradi1g58491","Bradi1g58491")</f>
        <v>Bradi1g58491</v>
      </c>
      <c r="I429" s="1" t="s">
        <v>1051</v>
      </c>
      <c r="J429" s="9" t="str">
        <f>HYPERLINK("http://plants.ensembl.org/Oryza_sativa/Gene/Summary?db=otherfeatures;g=LOC_Os07g05830","LOC_Os07g05830")</f>
        <v>LOC_Os07g05830</v>
      </c>
      <c r="L429" s="6"/>
      <c r="M429" s="1" t="s">
        <v>973</v>
      </c>
      <c r="N429" s="1">
        <v>1</v>
      </c>
      <c r="O429" s="1" t="s">
        <v>973</v>
      </c>
      <c r="P429" s="1" t="s">
        <v>973</v>
      </c>
      <c r="Q429" s="1" t="s">
        <v>973</v>
      </c>
      <c r="R429" s="1" t="s">
        <v>973</v>
      </c>
      <c r="S429" s="1"/>
      <c r="T429" s="6"/>
      <c r="U429" s="11">
        <v>7.3318896971413503</v>
      </c>
      <c r="V429" s="11">
        <v>7.856617045222408</v>
      </c>
      <c r="W429" s="11">
        <v>5.6758281605384937</v>
      </c>
      <c r="X429" s="11">
        <v>6.5949441018863908</v>
      </c>
      <c r="Y429" s="11">
        <v>0.63208204928970679</v>
      </c>
      <c r="Z429" s="11">
        <v>1.6488488835720003</v>
      </c>
      <c r="AA429" s="11">
        <v>4.9949960002382872</v>
      </c>
      <c r="AB429" s="11">
        <v>5.1236703345130552</v>
      </c>
      <c r="AC429" s="11">
        <v>0.53143552807406247</v>
      </c>
      <c r="AD429" s="11">
        <v>0.97063281676969426</v>
      </c>
      <c r="AE429" s="11">
        <v>2.1677432801089367</v>
      </c>
      <c r="AF429" s="11">
        <v>1.3708338481764033</v>
      </c>
      <c r="AG429" s="11">
        <v>0</v>
      </c>
      <c r="AH429" s="11">
        <v>0</v>
      </c>
      <c r="AI429" s="11">
        <v>0.83239046835287045</v>
      </c>
      <c r="AJ429" s="11">
        <v>1.2053299489687341</v>
      </c>
      <c r="AK429" s="6"/>
      <c r="AL429" t="s">
        <v>1077</v>
      </c>
      <c r="AM429">
        <v>0</v>
      </c>
      <c r="AN429" s="6"/>
      <c r="AO429" s="20">
        <v>7.7106000000000003</v>
      </c>
      <c r="AP429" s="20">
        <v>7.0206999999999997</v>
      </c>
      <c r="AQ429" s="20">
        <v>3.7480000000000002</v>
      </c>
      <c r="AR429" s="20">
        <v>5.6976000000000004</v>
      </c>
      <c r="AS429" s="20">
        <v>2.1238999999999999</v>
      </c>
      <c r="AT429" s="20">
        <v>3.0844</v>
      </c>
      <c r="AU429" s="20">
        <v>5.0410000000000004</v>
      </c>
      <c r="AV429" s="20">
        <v>4.5252999999999997</v>
      </c>
      <c r="AW429" s="6"/>
      <c r="AX429" s="18">
        <v>8.2470000000000001E-13</v>
      </c>
      <c r="AY429" s="18">
        <v>6.6620000000000003E-13</v>
      </c>
      <c r="AZ429" s="18">
        <v>1.655E-6</v>
      </c>
      <c r="BA429" s="18">
        <v>6.965E-11</v>
      </c>
      <c r="BB429" s="18">
        <v>0.1429</v>
      </c>
      <c r="BC429" s="18">
        <v>1.6449999999999999E-2</v>
      </c>
      <c r="BD429" s="18">
        <v>2.8560000000000002E-7</v>
      </c>
      <c r="BE429" s="18">
        <v>4.5839999999999998E-7</v>
      </c>
      <c r="BF429" s="13"/>
      <c r="BG429" t="s">
        <v>1191</v>
      </c>
      <c r="BH429" t="s">
        <v>1334</v>
      </c>
      <c r="BI429" t="s">
        <v>1113</v>
      </c>
      <c r="BJ429" t="s">
        <v>1114</v>
      </c>
      <c r="BK429" t="s">
        <v>1115</v>
      </c>
      <c r="BL429" t="s">
        <v>1116</v>
      </c>
      <c r="BM429" t="s">
        <v>1117</v>
      </c>
      <c r="BN429" s="13"/>
      <c r="BO429" t="s">
        <v>973</v>
      </c>
      <c r="BP429" t="s">
        <v>973</v>
      </c>
      <c r="BQ429" t="s">
        <v>973</v>
      </c>
      <c r="BR429" t="s">
        <v>973</v>
      </c>
    </row>
    <row r="430" spans="1:70" x14ac:dyDescent="0.25">
      <c r="A430" t="s">
        <v>548</v>
      </c>
      <c r="B430" t="s">
        <v>549</v>
      </c>
      <c r="C430" t="s">
        <v>209</v>
      </c>
      <c r="D430" s="6"/>
      <c r="E430" s="9" t="str">
        <f>HYPERLINK("http://plants.ensembl.org/Triticum_aestivum/Gene/Summary?g=TRIAE_CS42_4BL_TGACv1_320580_AA1043710","TRIAE_CS42_4BL_TGACv1_320580_AA1043710")</f>
        <v>TRIAE_CS42_4BL_TGACv1_320580_AA1043710</v>
      </c>
      <c r="H430" s="8" t="str">
        <f>HYPERLINK("http://plants.ensembl.org/Brachypodium_distachyon/Gene/Summary?g=Bradi1g72610","Bradi1g72610")</f>
        <v>Bradi1g72610</v>
      </c>
      <c r="I430" s="1" t="s">
        <v>1051</v>
      </c>
      <c r="J430" s="9" t="str">
        <f>HYPERLINK("http://plants.ensembl.org/Oryza_sativa/Gene/Summary?db=otherfeatures;g=LOC_Os03g08310","LOC_Os03g08310")</f>
        <v>LOC_Os03g08310</v>
      </c>
      <c r="L430" s="6"/>
      <c r="M430" s="1" t="s">
        <v>973</v>
      </c>
      <c r="N430" s="1">
        <v>1</v>
      </c>
      <c r="O430" s="1" t="s">
        <v>973</v>
      </c>
      <c r="P430" s="1" t="s">
        <v>973</v>
      </c>
      <c r="Q430" s="1" t="s">
        <v>973</v>
      </c>
      <c r="R430" s="1" t="s">
        <v>973</v>
      </c>
      <c r="S430" s="1"/>
      <c r="T430" s="6"/>
      <c r="U430" s="11">
        <v>7.7458118930212905</v>
      </c>
      <c r="V430" s="11">
        <v>8.2155891371652707</v>
      </c>
      <c r="W430" s="11">
        <v>5.7409779152876874</v>
      </c>
      <c r="X430" s="11">
        <v>5.702553197234197</v>
      </c>
      <c r="Y430" s="11">
        <v>7.1905243268066314</v>
      </c>
      <c r="Z430" s="11">
        <v>5.9446913707988154</v>
      </c>
      <c r="AA430" s="11">
        <v>6.6876360274678746</v>
      </c>
      <c r="AB430" s="11">
        <v>5.7553879058719044</v>
      </c>
      <c r="AC430" s="11">
        <v>4.5270870216877457</v>
      </c>
      <c r="AD430" s="11">
        <v>0.71861369897548444</v>
      </c>
      <c r="AE430" s="11">
        <v>3.152237512343175</v>
      </c>
      <c r="AF430" s="11">
        <v>0.98484451074783097</v>
      </c>
      <c r="AG430" s="11">
        <v>4.4980891404351233</v>
      </c>
      <c r="AH430" s="11">
        <v>1.1643143114050591</v>
      </c>
      <c r="AI430" s="11">
        <v>3.4942193120039851</v>
      </c>
      <c r="AJ430" s="11">
        <v>2.2753746295696589</v>
      </c>
      <c r="AK430" s="6"/>
      <c r="AL430" t="s">
        <v>1077</v>
      </c>
      <c r="AM430">
        <v>175</v>
      </c>
      <c r="AN430" s="6"/>
      <c r="AO430" s="20">
        <v>3.2616999999999998</v>
      </c>
      <c r="AP430" s="20">
        <v>7.7582000000000004</v>
      </c>
      <c r="AQ430" s="20">
        <v>2.6688000000000001</v>
      </c>
      <c r="AR430" s="20">
        <v>5.0995999999999997</v>
      </c>
      <c r="AS430" s="20">
        <v>2.7218</v>
      </c>
      <c r="AT430" s="20">
        <v>5.4043000000000001</v>
      </c>
      <c r="AU430" s="20">
        <v>3.2646999999999999</v>
      </c>
      <c r="AV430" s="20">
        <v>3.7113</v>
      </c>
      <c r="AW430" s="6"/>
      <c r="AX430" s="18">
        <v>5.6400000000000002E-12</v>
      </c>
      <c r="AY430" s="18">
        <v>5.0540000000000002E-19</v>
      </c>
      <c r="AZ430" s="18">
        <v>1.9439999999999999E-7</v>
      </c>
      <c r="BA430" s="18">
        <v>6.6210000000000002E-12</v>
      </c>
      <c r="BB430" s="18">
        <v>2.7320000000000001E-9</v>
      </c>
      <c r="BC430" s="18">
        <v>2.0369999999999999E-12</v>
      </c>
      <c r="BD430" s="18">
        <v>3.131E-11</v>
      </c>
      <c r="BE430" s="18">
        <v>8.0409999999999997E-11</v>
      </c>
      <c r="BF430" s="13"/>
      <c r="BG430" t="s">
        <v>1261</v>
      </c>
      <c r="BH430" t="s">
        <v>1211</v>
      </c>
      <c r="BI430" t="s">
        <v>1113</v>
      </c>
      <c r="BJ430" t="s">
        <v>1169</v>
      </c>
      <c r="BK430" t="s">
        <v>1115</v>
      </c>
      <c r="BL430" t="s">
        <v>1204</v>
      </c>
      <c r="BM430" t="s">
        <v>1117</v>
      </c>
      <c r="BN430" s="13"/>
      <c r="BO430" t="s">
        <v>973</v>
      </c>
      <c r="BP430" t="s">
        <v>973</v>
      </c>
      <c r="BQ430" t="s">
        <v>973</v>
      </c>
      <c r="BR430" t="s">
        <v>973</v>
      </c>
    </row>
    <row r="431" spans="1:70" x14ac:dyDescent="0.25">
      <c r="A431" t="s">
        <v>621</v>
      </c>
      <c r="B431" t="s">
        <v>622</v>
      </c>
      <c r="C431" t="s">
        <v>209</v>
      </c>
      <c r="D431" s="6"/>
      <c r="E431" s="9" t="str">
        <f>HYPERLINK("http://plants.ensembl.org/Triticum_aestivum/Gene/Summary?g=TRIAE_CS42_5AL_TGACv1_376851_AA1241540","TRIAE_CS42_5AL_TGACv1_376851_AA1241540")</f>
        <v>TRIAE_CS42_5AL_TGACv1_376851_AA1241540</v>
      </c>
      <c r="F431" s="9" t="str">
        <f>HYPERLINK("http://mar2016-plants.ensembl.org/Triticum_aestivum/Gene/Summary?db=core;g=Traes_5AL_BF3D7E764","Traes_5AL_BF3D7E764")</f>
        <v>Traes_5AL_BF3D7E764</v>
      </c>
      <c r="H431" s="8" t="str">
        <f>HYPERLINK("http://plants.ensembl.org/Brachypodium_distachyon/Gene/Summary?g=Bradi4g29830","Bradi4g29830")</f>
        <v>Bradi4g29830</v>
      </c>
      <c r="I431" s="8" t="str">
        <f>HYPERLINK("http://plants.ensembl.org/Arabidopsis_thaliana/Gene/Summary?g=AT3G17860","AT3G17860")</f>
        <v>AT3G17860</v>
      </c>
      <c r="J431" s="9" t="str">
        <f>HYPERLINK("http://plants.ensembl.org/Oryza_sativa/Gene/Summary?db=otherfeatures;g=LOC_Os09g23660","LOC_Os09g23660")</f>
        <v>LOC_Os09g23660</v>
      </c>
      <c r="L431" s="6"/>
      <c r="M431" s="1" t="s">
        <v>973</v>
      </c>
      <c r="N431" s="1">
        <v>1</v>
      </c>
      <c r="O431" s="1" t="s">
        <v>973</v>
      </c>
      <c r="P431" s="1" t="s">
        <v>973</v>
      </c>
      <c r="Q431" s="1" t="s">
        <v>973</v>
      </c>
      <c r="R431" s="1" t="s">
        <v>973</v>
      </c>
      <c r="S431" s="1"/>
      <c r="T431" s="6"/>
      <c r="U431" s="11">
        <v>11.021588986805101</v>
      </c>
      <c r="V431" s="11">
        <v>10.493644232030245</v>
      </c>
      <c r="W431" s="11">
        <v>10.259237761176045</v>
      </c>
      <c r="X431" s="11">
        <v>10.291430583622875</v>
      </c>
      <c r="Y431" s="11">
        <v>10.351154575522376</v>
      </c>
      <c r="Z431" s="11">
        <v>10.071406182167033</v>
      </c>
      <c r="AA431" s="11">
        <v>10.062460037798541</v>
      </c>
      <c r="AB431" s="11">
        <v>10.10385895885851</v>
      </c>
      <c r="AC431" s="11">
        <v>10.205942356826702</v>
      </c>
      <c r="AD431" s="11">
        <v>8.769758738364958</v>
      </c>
      <c r="AE431" s="11">
        <v>9.2520961257000991</v>
      </c>
      <c r="AF431" s="11">
        <v>9.0975689245761249</v>
      </c>
      <c r="AG431" s="11">
        <v>9.5216514729313939</v>
      </c>
      <c r="AH431" s="11">
        <v>8.6162842948038207</v>
      </c>
      <c r="AI431" s="11">
        <v>9.8146069778958491</v>
      </c>
      <c r="AJ431" s="11">
        <v>9.6374556827967179</v>
      </c>
      <c r="AK431" s="6"/>
      <c r="AL431" t="s">
        <v>1077</v>
      </c>
      <c r="AM431">
        <v>0</v>
      </c>
      <c r="AN431" s="6"/>
      <c r="AO431" s="20">
        <v>0.81389999999999996</v>
      </c>
      <c r="AP431" s="20">
        <v>1.7228000000000001</v>
      </c>
      <c r="AQ431" s="20">
        <v>1.0048999999999999</v>
      </c>
      <c r="AR431" s="20">
        <v>1.1922999999999999</v>
      </c>
      <c r="AS431" s="20">
        <v>0.82850000000000001</v>
      </c>
      <c r="AT431" s="20">
        <v>1.4529000000000001</v>
      </c>
      <c r="AU431" s="20">
        <v>0.24759999999999999</v>
      </c>
      <c r="AV431" s="20">
        <v>0.46560000000000001</v>
      </c>
      <c r="AW431" s="6"/>
      <c r="AX431" s="18">
        <v>1.873E-4</v>
      </c>
      <c r="AY431" s="18">
        <v>7.0390000000000003E-14</v>
      </c>
      <c r="AZ431" s="18">
        <v>3.9659999999999998E-6</v>
      </c>
      <c r="BA431" s="18">
        <v>4.8429999999999998E-8</v>
      </c>
      <c r="BB431" s="18">
        <v>1.351E-4</v>
      </c>
      <c r="BC431" s="18">
        <v>3.6689999999999998E-11</v>
      </c>
      <c r="BD431" s="18">
        <v>0.254</v>
      </c>
      <c r="BE431" s="18">
        <v>3.245E-2</v>
      </c>
      <c r="BF431" s="13"/>
      <c r="BG431" t="s">
        <v>1355</v>
      </c>
      <c r="BH431" t="s">
        <v>1112</v>
      </c>
      <c r="BI431" t="s">
        <v>1113</v>
      </c>
      <c r="BJ431" t="s">
        <v>1114</v>
      </c>
      <c r="BK431" t="s">
        <v>1182</v>
      </c>
      <c r="BL431" t="s">
        <v>1116</v>
      </c>
      <c r="BM431" t="s">
        <v>1194</v>
      </c>
      <c r="BN431" s="13"/>
      <c r="BO431" t="s">
        <v>973</v>
      </c>
      <c r="BP431" t="s">
        <v>973</v>
      </c>
      <c r="BQ431" t="s">
        <v>973</v>
      </c>
      <c r="BR431" t="s">
        <v>973</v>
      </c>
    </row>
    <row r="432" spans="1:70" x14ac:dyDescent="0.25">
      <c r="A432" t="s">
        <v>625</v>
      </c>
      <c r="B432" t="s">
        <v>549</v>
      </c>
      <c r="C432" t="s">
        <v>209</v>
      </c>
      <c r="D432" s="6"/>
      <c r="E432" s="9" t="str">
        <f>HYPERLINK("http://plants.ensembl.org/Triticum_aestivum/Gene/Summary?g=TRIAE_CS42_5AL_TGACv1_379331_AA1256080","TRIAE_CS42_5AL_TGACv1_379331_AA1256080")</f>
        <v>TRIAE_CS42_5AL_TGACv1_379331_AA1256080</v>
      </c>
      <c r="F432" s="9" t="str">
        <f>HYPERLINK("http://mar2016-plants.ensembl.org/Triticum_aestivum/Gene/Summary?db=core;g=Traes_5AL_BB55F989A","Traes_5AL_BB55F989A")</f>
        <v>Traes_5AL_BB55F989A</v>
      </c>
      <c r="H432" s="8" t="str">
        <f>HYPERLINK("http://plants.ensembl.org/Brachypodium_distachyon/Gene/Summary?g=Bradi4g31240","Bradi4g31240")</f>
        <v>Bradi4g31240</v>
      </c>
      <c r="I432" s="8" t="str">
        <f>HYPERLINK("http://plants.ensembl.org/Arabidopsis_thaliana/Gene/Summary?g=AT1G74950","AT1G74950")</f>
        <v>AT1G74950</v>
      </c>
      <c r="J432" s="9" t="str">
        <f>HYPERLINK("http://plants.ensembl.org/Oryza_sativa/Gene/Summary?db=otherfeatures;g=LOC_Os09g26780","LOC_Os09g26780")</f>
        <v>LOC_Os09g26780</v>
      </c>
      <c r="L432" s="6"/>
      <c r="M432" s="1" t="s">
        <v>973</v>
      </c>
      <c r="N432" s="1">
        <v>1</v>
      </c>
      <c r="O432" s="1" t="s">
        <v>973</v>
      </c>
      <c r="P432" s="1" t="s">
        <v>973</v>
      </c>
      <c r="Q432" s="1" t="s">
        <v>973</v>
      </c>
      <c r="R432" s="1" t="s">
        <v>973</v>
      </c>
      <c r="S432" s="1"/>
      <c r="T432" s="6"/>
      <c r="U432" s="11">
        <v>10.69119849502377</v>
      </c>
      <c r="V432" s="11">
        <v>11.537540171729708</v>
      </c>
      <c r="W432" s="11">
        <v>9.3366017693343029</v>
      </c>
      <c r="X432" s="11">
        <v>9.6700769305905467</v>
      </c>
      <c r="Y432" s="11">
        <v>10.323883424378275</v>
      </c>
      <c r="Z432" s="11">
        <v>9.7834789725681368</v>
      </c>
      <c r="AA432" s="11">
        <v>9.6239372585157188</v>
      </c>
      <c r="AB432" s="11">
        <v>9.3036755097796995</v>
      </c>
      <c r="AC432" s="11">
        <v>7.1207182636269311</v>
      </c>
      <c r="AD432" s="11">
        <v>7.5671755291194156</v>
      </c>
      <c r="AE432" s="11">
        <v>7.087514466178618</v>
      </c>
      <c r="AF432" s="11">
        <v>6.9818842309210503</v>
      </c>
      <c r="AG432" s="11">
        <v>6.8502381047709804</v>
      </c>
      <c r="AH432" s="11">
        <v>6.466809810695187</v>
      </c>
      <c r="AI432" s="11">
        <v>7.585106262126474</v>
      </c>
      <c r="AJ432" s="11">
        <v>8.3919671545907129</v>
      </c>
      <c r="AK432" s="6"/>
      <c r="AL432" t="s">
        <v>1077</v>
      </c>
      <c r="AM432">
        <v>412</v>
      </c>
      <c r="AN432" s="6"/>
      <c r="AO432" s="20">
        <v>3.5661999999999998</v>
      </c>
      <c r="AP432" s="20">
        <v>3.9154</v>
      </c>
      <c r="AQ432" s="20">
        <v>2.2418</v>
      </c>
      <c r="AR432" s="20">
        <v>2.6699000000000002</v>
      </c>
      <c r="AS432" s="20">
        <v>3.4632000000000001</v>
      </c>
      <c r="AT432" s="20">
        <v>3.3066</v>
      </c>
      <c r="AU432" s="20">
        <v>2.0326</v>
      </c>
      <c r="AV432" s="20">
        <v>0.90820000000000001</v>
      </c>
      <c r="AW432" s="6"/>
      <c r="AX432" s="18">
        <v>2.732E-24</v>
      </c>
      <c r="AY432" s="18">
        <v>9.3499999999999997E-28</v>
      </c>
      <c r="AZ432" s="18">
        <v>1.4170000000000001E-10</v>
      </c>
      <c r="BA432" s="18">
        <v>2.6229999999999999E-14</v>
      </c>
      <c r="BB432" s="18">
        <v>2.4430000000000001E-23</v>
      </c>
      <c r="BC432" s="18">
        <v>8.2859999999999993E-21</v>
      </c>
      <c r="BD432" s="18">
        <v>4.8719999999999997E-9</v>
      </c>
      <c r="BE432" s="18">
        <v>8.7259999999999994E-3</v>
      </c>
      <c r="BF432" s="13"/>
      <c r="BG432" t="s">
        <v>1274</v>
      </c>
      <c r="BH432" t="s">
        <v>1144</v>
      </c>
      <c r="BI432" t="s">
        <v>1254</v>
      </c>
      <c r="BJ432" t="s">
        <v>1114</v>
      </c>
      <c r="BK432" t="s">
        <v>1115</v>
      </c>
      <c r="BL432" t="s">
        <v>1116</v>
      </c>
      <c r="BM432" t="s">
        <v>1212</v>
      </c>
      <c r="BN432" s="13"/>
      <c r="BO432" t="s">
        <v>973</v>
      </c>
      <c r="BP432" t="s">
        <v>973</v>
      </c>
      <c r="BQ432" t="s">
        <v>973</v>
      </c>
      <c r="BR432" t="s">
        <v>973</v>
      </c>
    </row>
    <row r="433" spans="1:70" x14ac:dyDescent="0.25">
      <c r="A433" t="s">
        <v>682</v>
      </c>
      <c r="B433" t="s">
        <v>683</v>
      </c>
      <c r="C433" t="s">
        <v>209</v>
      </c>
      <c r="D433" s="6"/>
      <c r="E433" s="9" t="str">
        <f>HYPERLINK("http://plants.ensembl.org/Triticum_aestivum/Gene/Summary?g=TRIAE_CS42_5BL_TGACv1_404522_AA1302890","TRIAE_CS42_5BL_TGACv1_404522_AA1302890")</f>
        <v>TRIAE_CS42_5BL_TGACv1_404522_AA1302890</v>
      </c>
      <c r="F433" s="9" t="str">
        <f>HYPERLINK("http://mar2016-plants.ensembl.org/Triticum_aestivum/Gene/Summary?db=core;g=Traes_5BL_1F38B9D05","Traes_5BL_1F38B9D05")</f>
        <v>Traes_5BL_1F38B9D05</v>
      </c>
      <c r="H433" s="8" t="str">
        <f>HYPERLINK("http://plants.ensembl.org/Brachypodium_distachyon/Gene/Summary?g=Bradi4g29830","Bradi4g29830")</f>
        <v>Bradi4g29830</v>
      </c>
      <c r="I433" s="8" t="str">
        <f>HYPERLINK("http://plants.ensembl.org/Arabidopsis_thaliana/Gene/Summary?g=AT3G17860","AT3G17860")</f>
        <v>AT3G17860</v>
      </c>
      <c r="J433" s="9" t="str">
        <f>HYPERLINK("http://plants.ensembl.org/Oryza_sativa/Gene/Summary?db=otherfeatures;g=LOC_Os09g23660","LOC_Os09g23660")</f>
        <v>LOC_Os09g23660</v>
      </c>
      <c r="L433" s="6"/>
      <c r="M433" s="1" t="s">
        <v>973</v>
      </c>
      <c r="N433" s="1">
        <v>1</v>
      </c>
      <c r="O433" s="1" t="s">
        <v>973</v>
      </c>
      <c r="P433" s="1" t="s">
        <v>973</v>
      </c>
      <c r="Q433" s="1" t="s">
        <v>973</v>
      </c>
      <c r="R433" s="1" t="s">
        <v>973</v>
      </c>
      <c r="S433" s="1"/>
      <c r="T433" s="6"/>
      <c r="U433" s="11">
        <v>10.235352426102761</v>
      </c>
      <c r="V433" s="11">
        <v>9.8748340490113655</v>
      </c>
      <c r="W433" s="11">
        <v>9.4267099363677858</v>
      </c>
      <c r="X433" s="11">
        <v>9.7365905574238862</v>
      </c>
      <c r="Y433" s="11">
        <v>9.4081621420282424</v>
      </c>
      <c r="Z433" s="11">
        <v>9.4220977837427178</v>
      </c>
      <c r="AA433" s="11">
        <v>9.3432909983574479</v>
      </c>
      <c r="AB433" s="11">
        <v>9.4252593408815954</v>
      </c>
      <c r="AC433" s="11">
        <v>9.9851991258202482</v>
      </c>
      <c r="AD433" s="11">
        <v>9.1298468459402997</v>
      </c>
      <c r="AE433" s="11">
        <v>8.8453984682654294</v>
      </c>
      <c r="AF433" s="11">
        <v>9.0317980453189275</v>
      </c>
      <c r="AG433" s="11">
        <v>9.0737198344152361</v>
      </c>
      <c r="AH433" s="11">
        <v>8.8037419467056051</v>
      </c>
      <c r="AI433" s="11">
        <v>9.2635428443166088</v>
      </c>
      <c r="AJ433" s="11">
        <v>9.4473352968880064</v>
      </c>
      <c r="AK433" s="6"/>
      <c r="AL433" t="s">
        <v>1077</v>
      </c>
      <c r="AM433">
        <v>0</v>
      </c>
      <c r="AN433" s="6"/>
      <c r="AO433" s="20">
        <v>0.24740000000000001</v>
      </c>
      <c r="AP433" s="20">
        <v>0.76990000000000003</v>
      </c>
      <c r="AQ433" s="20">
        <v>0.57889999999999997</v>
      </c>
      <c r="AR433" s="20">
        <v>0.70499999999999996</v>
      </c>
      <c r="AS433" s="20">
        <v>0.33489999999999998</v>
      </c>
      <c r="AT433" s="20">
        <v>0.61860000000000004</v>
      </c>
      <c r="AU433" s="20">
        <v>7.8399999999999997E-2</v>
      </c>
      <c r="AV433" s="20">
        <v>-2.2599999999999999E-2</v>
      </c>
      <c r="AW433" s="6"/>
      <c r="AX433" s="18">
        <v>0.1845</v>
      </c>
      <c r="AY433" s="18">
        <v>1.1069999999999999E-4</v>
      </c>
      <c r="AZ433" s="18">
        <v>1.892E-3</v>
      </c>
      <c r="BA433" s="18">
        <v>1.5239999999999999E-4</v>
      </c>
      <c r="BB433" s="18">
        <v>7.0910000000000001E-2</v>
      </c>
      <c r="BC433" s="18">
        <v>9.368E-4</v>
      </c>
      <c r="BD433" s="18">
        <v>0.67220000000000002</v>
      </c>
      <c r="BE433" s="18">
        <v>0.90329999999999999</v>
      </c>
      <c r="BF433" s="13"/>
      <c r="BG433" t="s">
        <v>1111</v>
      </c>
      <c r="BH433" t="s">
        <v>1112</v>
      </c>
      <c r="BI433" t="s">
        <v>1294</v>
      </c>
      <c r="BJ433" t="s">
        <v>1114</v>
      </c>
      <c r="BK433" t="s">
        <v>1115</v>
      </c>
      <c r="BL433" t="s">
        <v>1116</v>
      </c>
      <c r="BM433" t="s">
        <v>1117</v>
      </c>
      <c r="BN433" s="13"/>
      <c r="BO433" t="s">
        <v>973</v>
      </c>
      <c r="BP433" t="s">
        <v>973</v>
      </c>
      <c r="BQ433" t="s">
        <v>973</v>
      </c>
      <c r="BR433" t="s">
        <v>973</v>
      </c>
    </row>
    <row r="434" spans="1:70" x14ac:dyDescent="0.25">
      <c r="A434" t="s">
        <v>684</v>
      </c>
      <c r="B434" t="s">
        <v>549</v>
      </c>
      <c r="C434" t="s">
        <v>209</v>
      </c>
      <c r="D434" s="6"/>
      <c r="E434" s="9" t="str">
        <f>HYPERLINK("http://plants.ensembl.org/Triticum_aestivum/Gene/Summary?g=TRIAE_CS42_5BL_TGACv1_408035_AA1361270","TRIAE_CS42_5BL_TGACv1_408035_AA1361270")</f>
        <v>TRIAE_CS42_5BL_TGACv1_408035_AA1361270</v>
      </c>
      <c r="F434" s="9" t="str">
        <f>HYPERLINK("http://mar2016-plants.ensembl.org/Triticum_aestivum/Gene/Summary?db=core;g=Traes_5BL_7A6C3831E","Traes_5BL_7A6C3831E")</f>
        <v>Traes_5BL_7A6C3831E</v>
      </c>
      <c r="H434" s="8" t="str">
        <f>HYPERLINK("http://plants.ensembl.org/Brachypodium_distachyon/Gene/Summary?g=Bradi4g31240","Bradi4g31240")</f>
        <v>Bradi4g31240</v>
      </c>
      <c r="I434" s="8" t="str">
        <f>HYPERLINK("http://plants.ensembl.org/Arabidopsis_thaliana/Gene/Summary?g=AT1G74950","AT1G74950")</f>
        <v>AT1G74950</v>
      </c>
      <c r="J434" s="9" t="str">
        <f>HYPERLINK("http://plants.ensembl.org/Oryza_sativa/Gene/Summary?db=otherfeatures;g=LOC_Os09g26780","LOC_Os09g26780")</f>
        <v>LOC_Os09g26780</v>
      </c>
      <c r="L434" s="6"/>
      <c r="M434" s="1" t="s">
        <v>973</v>
      </c>
      <c r="N434" s="1">
        <v>1</v>
      </c>
      <c r="O434" s="1" t="s">
        <v>973</v>
      </c>
      <c r="P434" s="1" t="s">
        <v>973</v>
      </c>
      <c r="Q434" s="1" t="s">
        <v>973</v>
      </c>
      <c r="R434" s="1" t="s">
        <v>973</v>
      </c>
      <c r="S434" s="1"/>
      <c r="T434" s="6"/>
      <c r="U434" s="11">
        <v>11.590693127450107</v>
      </c>
      <c r="V434" s="11">
        <v>12.669075314998464</v>
      </c>
      <c r="W434" s="11">
        <v>9.9764418769789867</v>
      </c>
      <c r="X434" s="11">
        <v>10.534485728977685</v>
      </c>
      <c r="Y434" s="11">
        <v>10.712719776783711</v>
      </c>
      <c r="Z434" s="11">
        <v>10.413599370995113</v>
      </c>
      <c r="AA434" s="11">
        <v>9.8021481858830875</v>
      </c>
      <c r="AB434" s="11">
        <v>10.113354964883149</v>
      </c>
      <c r="AC434" s="11">
        <v>6.8514413169302113</v>
      </c>
      <c r="AD434" s="11">
        <v>7.4915108164062794</v>
      </c>
      <c r="AE434" s="11">
        <v>6.1158787578949845</v>
      </c>
      <c r="AF434" s="11">
        <v>6.7878999481763254</v>
      </c>
      <c r="AG434" s="11">
        <v>5.9666327245348194</v>
      </c>
      <c r="AH434" s="11">
        <v>6.5965615035563046</v>
      </c>
      <c r="AI434" s="11">
        <v>6.8132146886209748</v>
      </c>
      <c r="AJ434" s="11">
        <v>7.6431969680015044</v>
      </c>
      <c r="AK434" s="6"/>
      <c r="AL434" t="s">
        <v>1077</v>
      </c>
      <c r="AM434">
        <v>969</v>
      </c>
      <c r="AN434" s="6"/>
      <c r="AO434" s="20">
        <v>4.7217000000000002</v>
      </c>
      <c r="AP434" s="20">
        <v>5.1120999999999999</v>
      </c>
      <c r="AQ434" s="20">
        <v>3.8490000000000002</v>
      </c>
      <c r="AR434" s="20">
        <v>3.7195999999999998</v>
      </c>
      <c r="AS434" s="20">
        <v>4.7332999999999998</v>
      </c>
      <c r="AT434" s="20">
        <v>3.7999000000000001</v>
      </c>
      <c r="AU434" s="20">
        <v>2.9765999999999999</v>
      </c>
      <c r="AV434" s="20">
        <v>2.4575999999999998</v>
      </c>
      <c r="AW434" s="6"/>
      <c r="AX434" s="18">
        <v>3.6969999999999999E-33</v>
      </c>
      <c r="AY434" s="18">
        <v>2.2880000000000001E-37</v>
      </c>
      <c r="AZ434" s="18">
        <v>2.7720000000000001E-22</v>
      </c>
      <c r="BA434" s="18">
        <v>3.186E-21</v>
      </c>
      <c r="BB434" s="18">
        <v>2.8729999999999999E-33</v>
      </c>
      <c r="BC434" s="18">
        <v>5.6549999999999996E-22</v>
      </c>
      <c r="BD434" s="18">
        <v>3.3069999999999998E-14</v>
      </c>
      <c r="BE434" s="18">
        <v>2.909E-10</v>
      </c>
      <c r="BF434" s="13"/>
      <c r="BG434" t="s">
        <v>1131</v>
      </c>
      <c r="BH434" t="s">
        <v>1144</v>
      </c>
      <c r="BI434" t="s">
        <v>1113</v>
      </c>
      <c r="BJ434" t="s">
        <v>1127</v>
      </c>
      <c r="BK434" t="s">
        <v>1115</v>
      </c>
      <c r="BL434" t="s">
        <v>1116</v>
      </c>
      <c r="BM434" t="s">
        <v>1194</v>
      </c>
      <c r="BN434" s="13"/>
      <c r="BO434" t="s">
        <v>973</v>
      </c>
      <c r="BP434" t="s">
        <v>973</v>
      </c>
      <c r="BQ434" t="s">
        <v>973</v>
      </c>
      <c r="BR434" t="s">
        <v>973</v>
      </c>
    </row>
    <row r="435" spans="1:70" x14ac:dyDescent="0.25">
      <c r="A435" t="s">
        <v>732</v>
      </c>
      <c r="B435" t="s">
        <v>622</v>
      </c>
      <c r="C435" t="s">
        <v>209</v>
      </c>
      <c r="D435" s="6"/>
      <c r="E435" s="9" t="str">
        <f>HYPERLINK("http://plants.ensembl.org/Triticum_aestivum/Gene/Summary?g=TRIAE_CS42_5DL_TGACv1_434481_AA1436730","TRIAE_CS42_5DL_TGACv1_434481_AA1436730")</f>
        <v>TRIAE_CS42_5DL_TGACv1_434481_AA1436730</v>
      </c>
      <c r="F435" s="9" t="str">
        <f>HYPERLINK("http://mar2016-plants.ensembl.org/Triticum_aestivum/Gene/Summary?db=core;g=Traes_5DL_3A1F8C38E","Traes_5DL_3A1F8C38E")</f>
        <v>Traes_5DL_3A1F8C38E</v>
      </c>
      <c r="H435" s="8" t="str">
        <f>HYPERLINK("http://plants.ensembl.org/Brachypodium_distachyon/Gene/Summary?g=Bradi4g29830","Bradi4g29830")</f>
        <v>Bradi4g29830</v>
      </c>
      <c r="I435" s="8" t="str">
        <f>HYPERLINK("http://plants.ensembl.org/Arabidopsis_thaliana/Gene/Summary?g=AT3G17860","AT3G17860")</f>
        <v>AT3G17860</v>
      </c>
      <c r="J435" s="9" t="str">
        <f>HYPERLINK("http://plants.ensembl.org/Oryza_sativa/Gene/Summary?db=otherfeatures;g=LOC_Os09g23660","LOC_Os09g23660")</f>
        <v>LOC_Os09g23660</v>
      </c>
      <c r="L435" s="6"/>
      <c r="M435" s="1" t="s">
        <v>973</v>
      </c>
      <c r="N435" s="1">
        <v>1</v>
      </c>
      <c r="O435" s="1" t="s">
        <v>973</v>
      </c>
      <c r="P435" s="1" t="s">
        <v>973</v>
      </c>
      <c r="Q435" s="1" t="s">
        <v>973</v>
      </c>
      <c r="R435" s="1" t="s">
        <v>973</v>
      </c>
      <c r="S435" s="1"/>
      <c r="T435" s="6"/>
      <c r="U435" s="11">
        <v>10.825366306602177</v>
      </c>
      <c r="V435" s="11">
        <v>10.255729401387534</v>
      </c>
      <c r="W435" s="11">
        <v>10.081430709189513</v>
      </c>
      <c r="X435" s="11">
        <v>9.9354086219832336</v>
      </c>
      <c r="Y435" s="11">
        <v>10.078703223464688</v>
      </c>
      <c r="Z435" s="11">
        <v>9.7441031129581006</v>
      </c>
      <c r="AA435" s="11">
        <v>9.9074703623560243</v>
      </c>
      <c r="AB435" s="11">
        <v>9.8331645535776531</v>
      </c>
      <c r="AC435" s="11">
        <v>10.307162435447458</v>
      </c>
      <c r="AD435" s="11">
        <v>8.8833921189409519</v>
      </c>
      <c r="AE435" s="11">
        <v>9.3018941196824905</v>
      </c>
      <c r="AF435" s="11">
        <v>9.0648833903541135</v>
      </c>
      <c r="AG435" s="11">
        <v>9.7189716397864174</v>
      </c>
      <c r="AH435" s="11">
        <v>8.7698001645040389</v>
      </c>
      <c r="AI435" s="11">
        <v>9.9469311718155549</v>
      </c>
      <c r="AJ435" s="11">
        <v>9.7362325639756726</v>
      </c>
      <c r="AK435" s="6"/>
      <c r="AL435" t="s">
        <v>1077</v>
      </c>
      <c r="AM435">
        <v>0</v>
      </c>
      <c r="AN435" s="6"/>
      <c r="AO435" s="20">
        <v>0.51500000000000001</v>
      </c>
      <c r="AP435" s="20">
        <v>1.3218000000000001</v>
      </c>
      <c r="AQ435" s="20">
        <v>0.77780000000000005</v>
      </c>
      <c r="AR435" s="20">
        <v>0.86950000000000005</v>
      </c>
      <c r="AS435" s="20">
        <v>0.35920000000000002</v>
      </c>
      <c r="AT435" s="20">
        <v>0.97370000000000001</v>
      </c>
      <c r="AU435" s="20">
        <v>-3.9300000000000002E-2</v>
      </c>
      <c r="AV435" s="20">
        <v>9.6500000000000002E-2</v>
      </c>
      <c r="AW435" s="6"/>
      <c r="AX435" s="18">
        <v>1.061E-2</v>
      </c>
      <c r="AY435" s="18">
        <v>6.9250000000000004E-10</v>
      </c>
      <c r="AZ435" s="18">
        <v>1.125E-4</v>
      </c>
      <c r="BA435" s="18">
        <v>1.7439999999999999E-5</v>
      </c>
      <c r="BB435" s="18">
        <v>7.3330000000000006E-2</v>
      </c>
      <c r="BC435" s="18">
        <v>1.64E-6</v>
      </c>
      <c r="BD435" s="18">
        <v>0.84470000000000001</v>
      </c>
      <c r="BE435" s="18">
        <v>0.63160000000000005</v>
      </c>
      <c r="BF435" s="13"/>
      <c r="BG435" t="s">
        <v>1125</v>
      </c>
      <c r="BH435" t="s">
        <v>1112</v>
      </c>
      <c r="BI435" t="s">
        <v>1294</v>
      </c>
      <c r="BJ435" t="s">
        <v>1114</v>
      </c>
      <c r="BK435" t="s">
        <v>1182</v>
      </c>
      <c r="BL435" t="s">
        <v>1116</v>
      </c>
      <c r="BM435" t="s">
        <v>1117</v>
      </c>
      <c r="BN435" s="13"/>
      <c r="BO435" t="s">
        <v>973</v>
      </c>
      <c r="BP435" t="s">
        <v>973</v>
      </c>
      <c r="BQ435" t="s">
        <v>973</v>
      </c>
      <c r="BR435" t="s">
        <v>973</v>
      </c>
    </row>
    <row r="436" spans="1:70" x14ac:dyDescent="0.25">
      <c r="A436" t="s">
        <v>849</v>
      </c>
      <c r="B436" t="s">
        <v>549</v>
      </c>
      <c r="C436" t="s">
        <v>209</v>
      </c>
      <c r="D436" s="6"/>
      <c r="E436" s="9" t="str">
        <f>HYPERLINK("http://plants.ensembl.org/Triticum_aestivum/Gene/Summary?g=TRIAE_CS42_U_TGACv1_642423_AA2117360","TRIAE_CS42_U_TGACv1_642423_AA2117360")</f>
        <v>TRIAE_CS42_U_TGACv1_642423_AA2117360</v>
      </c>
      <c r="F436" s="9"/>
      <c r="H436" s="8" t="str">
        <f>HYPERLINK("http://plants.ensembl.org/Brachypodium_distachyon/Gene/Summary?g=Bradi3g23190","Bradi3g23190")</f>
        <v>Bradi3g23190</v>
      </c>
      <c r="I436" s="1" t="s">
        <v>1051</v>
      </c>
      <c r="J436" s="9" t="str">
        <f>HYPERLINK("http://plants.ensembl.org/Oryza_sativa/Gene/Summary?db=otherfeatures;g=LOC_Os10g25230","LOC_Os10g25230")</f>
        <v>LOC_Os10g25230</v>
      </c>
      <c r="L436" s="6"/>
      <c r="M436" s="1" t="s">
        <v>973</v>
      </c>
      <c r="N436" s="1">
        <v>1</v>
      </c>
      <c r="O436" s="1" t="s">
        <v>973</v>
      </c>
      <c r="P436" s="1" t="s">
        <v>973</v>
      </c>
      <c r="Q436" s="1" t="s">
        <v>973</v>
      </c>
      <c r="R436" s="1" t="s">
        <v>973</v>
      </c>
      <c r="S436" s="1"/>
      <c r="T436" s="6"/>
      <c r="U436" s="11">
        <v>7.8567923550291976</v>
      </c>
      <c r="V436" s="11">
        <v>8.307991285074678</v>
      </c>
      <c r="W436" s="11">
        <v>5.3323343835902302</v>
      </c>
      <c r="X436" s="11">
        <v>6.1760674057859353</v>
      </c>
      <c r="Y436" s="11">
        <v>7.235008021888957</v>
      </c>
      <c r="Z436" s="11">
        <v>6.2396500787216667</v>
      </c>
      <c r="AA436" s="11">
        <v>6.3179781237926553</v>
      </c>
      <c r="AB436" s="11">
        <v>5.2535443414555481</v>
      </c>
      <c r="AC436" s="11">
        <v>2.6821312825629762</v>
      </c>
      <c r="AD436" s="11">
        <v>0</v>
      </c>
      <c r="AE436" s="11">
        <v>0.29721098503322341</v>
      </c>
      <c r="AF436" s="11">
        <v>0.98484451074783097</v>
      </c>
      <c r="AG436" s="11">
        <v>1.172530185539888</v>
      </c>
      <c r="AH436" s="11">
        <v>0</v>
      </c>
      <c r="AI436" s="11">
        <v>2.7608596368219076</v>
      </c>
      <c r="AJ436" s="11">
        <v>1.7361430235379929</v>
      </c>
      <c r="AK436" s="6"/>
      <c r="AL436" t="s">
        <v>1077</v>
      </c>
      <c r="AM436">
        <v>909</v>
      </c>
      <c r="AN436" s="6"/>
      <c r="AO436" s="20">
        <v>5.4534000000000002</v>
      </c>
      <c r="AP436" s="20">
        <v>8.9543999999999997</v>
      </c>
      <c r="AQ436" s="20">
        <v>6.3533999999999997</v>
      </c>
      <c r="AR436" s="20">
        <v>5.6021999999999998</v>
      </c>
      <c r="AS436" s="20">
        <v>6.6957000000000004</v>
      </c>
      <c r="AT436" s="20">
        <v>7.9185999999999996</v>
      </c>
      <c r="AU436" s="20">
        <v>3.6859999999999999</v>
      </c>
      <c r="AV436" s="20">
        <v>3.8588</v>
      </c>
      <c r="AW436" s="6"/>
      <c r="AX436" s="18">
        <v>3.3110000000000002E-13</v>
      </c>
      <c r="AY436" s="18">
        <v>1.27E-14</v>
      </c>
      <c r="AZ436" s="18">
        <v>3.9020000000000001E-8</v>
      </c>
      <c r="BA436" s="18">
        <v>3.8689999999999998E-10</v>
      </c>
      <c r="BB436" s="18">
        <v>4.2420000000000002E-16</v>
      </c>
      <c r="BC436" s="18">
        <v>4.4350000000000001E-11</v>
      </c>
      <c r="BD436" s="18">
        <v>3.707E-7</v>
      </c>
      <c r="BE436" s="18">
        <v>1.5120000000000001E-6</v>
      </c>
      <c r="BF436" s="13"/>
      <c r="BG436" t="s">
        <v>1143</v>
      </c>
      <c r="BH436" t="s">
        <v>1211</v>
      </c>
      <c r="BI436" t="s">
        <v>1113</v>
      </c>
      <c r="BJ436" t="s">
        <v>1114</v>
      </c>
      <c r="BK436" t="s">
        <v>1115</v>
      </c>
      <c r="BL436" t="s">
        <v>1204</v>
      </c>
      <c r="BM436" t="s">
        <v>1117</v>
      </c>
      <c r="BN436" s="13"/>
      <c r="BO436" t="s">
        <v>973</v>
      </c>
      <c r="BP436" t="s">
        <v>973</v>
      </c>
      <c r="BQ436" t="s">
        <v>973</v>
      </c>
      <c r="BR436" t="s">
        <v>973</v>
      </c>
    </row>
    <row r="437" spans="1:70" x14ac:dyDescent="0.25">
      <c r="A437" t="s">
        <v>850</v>
      </c>
      <c r="B437" t="s">
        <v>851</v>
      </c>
      <c r="C437" t="s">
        <v>209</v>
      </c>
      <c r="D437" s="6"/>
      <c r="E437" s="9" t="str">
        <f>HYPERLINK("http://plants.ensembl.org/Triticum_aestivum/Gene/Summary?g=TRIAE_CS42_U_TGACv1_642423_AA2117360","TRIAE_CS42_U_TGACv1_642423_AA2117360")</f>
        <v>TRIAE_CS42_U_TGACv1_642423_AA2117360</v>
      </c>
      <c r="F437" s="9"/>
      <c r="H437" s="1" t="s">
        <v>1051</v>
      </c>
      <c r="I437" s="1" t="s">
        <v>1051</v>
      </c>
      <c r="J437" s="1" t="s">
        <v>1051</v>
      </c>
      <c r="L437" s="6"/>
      <c r="M437" s="1" t="s">
        <v>973</v>
      </c>
      <c r="N437" s="1">
        <v>1</v>
      </c>
      <c r="O437" s="1" t="s">
        <v>973</v>
      </c>
      <c r="P437" s="1" t="s">
        <v>973</v>
      </c>
      <c r="Q437" s="1" t="s">
        <v>973</v>
      </c>
      <c r="R437" s="1" t="s">
        <v>973</v>
      </c>
      <c r="S437" s="1"/>
      <c r="T437" s="6"/>
      <c r="U437" s="11">
        <v>9.1926115696459831</v>
      </c>
      <c r="V437" s="11">
        <v>10.404413122616372</v>
      </c>
      <c r="W437" s="11">
        <v>6.8040014848066361</v>
      </c>
      <c r="X437" s="11">
        <v>7.9162224386040512</v>
      </c>
      <c r="Y437" s="11">
        <v>8.3825607699449147</v>
      </c>
      <c r="Z437" s="11">
        <v>7.9674695219649365</v>
      </c>
      <c r="AA437" s="11">
        <v>7.6154305208914135</v>
      </c>
      <c r="AB437" s="11">
        <v>7.0479094988144588</v>
      </c>
      <c r="AC437" s="11">
        <v>2.907441920355462</v>
      </c>
      <c r="AD437" s="11">
        <v>0.39407506562573752</v>
      </c>
      <c r="AE437" s="11">
        <v>1.2942923529020811</v>
      </c>
      <c r="AF437" s="11">
        <v>0.98484451074783097</v>
      </c>
      <c r="AG437" s="11">
        <v>0.44985186519090581</v>
      </c>
      <c r="AH437" s="11">
        <v>0</v>
      </c>
      <c r="AI437" s="11">
        <v>3.7279313427865715</v>
      </c>
      <c r="AJ437" s="11">
        <v>1.8312962638638723</v>
      </c>
      <c r="AK437" s="6"/>
      <c r="AL437" t="s">
        <v>1077</v>
      </c>
      <c r="AM437">
        <v>932</v>
      </c>
      <c r="AN437" s="6"/>
      <c r="AO437" s="20">
        <v>6.4086999999999996</v>
      </c>
      <c r="AP437" s="20">
        <v>10.2216</v>
      </c>
      <c r="AQ437" s="20">
        <v>6.0194000000000001</v>
      </c>
      <c r="AR437" s="20">
        <v>7.2686000000000002</v>
      </c>
      <c r="AS437" s="20">
        <v>8.9038000000000004</v>
      </c>
      <c r="AT437" s="20">
        <v>9.4757999999999996</v>
      </c>
      <c r="AU437" s="20">
        <v>3.8833000000000002</v>
      </c>
      <c r="AV437" s="20">
        <v>5.4722999999999997</v>
      </c>
      <c r="AW437" s="6"/>
      <c r="AX437" s="18">
        <v>1.2729999999999999E-16</v>
      </c>
      <c r="AY437" s="18">
        <v>1.32E-21</v>
      </c>
      <c r="AZ437" s="18">
        <v>1.6790000000000001E-11</v>
      </c>
      <c r="BA437" s="18">
        <v>2.8909999999999998E-15</v>
      </c>
      <c r="BB437" s="18">
        <v>1.4469999999999999E-19</v>
      </c>
      <c r="BC437" s="18">
        <v>9.0189999999999992E-15</v>
      </c>
      <c r="BD437" s="18">
        <v>1.519E-7</v>
      </c>
      <c r="BE437" s="18">
        <v>2.838E-11</v>
      </c>
      <c r="BF437" s="13"/>
      <c r="BG437" t="s">
        <v>1131</v>
      </c>
      <c r="BH437" t="s">
        <v>1211</v>
      </c>
      <c r="BI437" t="s">
        <v>1113</v>
      </c>
      <c r="BJ437" t="s">
        <v>1114</v>
      </c>
      <c r="BK437" t="s">
        <v>1115</v>
      </c>
      <c r="BL437" t="s">
        <v>1116</v>
      </c>
      <c r="BM437" t="s">
        <v>1117</v>
      </c>
      <c r="BN437" s="13"/>
      <c r="BO437" t="s">
        <v>973</v>
      </c>
      <c r="BP437" t="s">
        <v>973</v>
      </c>
      <c r="BQ437" t="s">
        <v>973</v>
      </c>
      <c r="BR437" t="s">
        <v>973</v>
      </c>
    </row>
    <row r="438" spans="1:70" x14ac:dyDescent="0.25">
      <c r="A438" t="s">
        <v>852</v>
      </c>
      <c r="B438" t="s">
        <v>549</v>
      </c>
      <c r="C438" t="s">
        <v>209</v>
      </c>
      <c r="D438" s="6"/>
      <c r="E438" s="9" t="str">
        <f>HYPERLINK("http://plants.ensembl.org/Triticum_aestivum/Gene/Summary?g=TRIAE_CS42_7AS_TGACv1_569265_AA1812030","TRIAE_CS42_7AS_TGACv1_569265_AA1812030")</f>
        <v>TRIAE_CS42_7AS_TGACv1_569265_AA1812030</v>
      </c>
      <c r="H438" s="1" t="s">
        <v>1051</v>
      </c>
      <c r="I438" s="1" t="s">
        <v>1051</v>
      </c>
      <c r="J438" s="1" t="s">
        <v>1051</v>
      </c>
      <c r="L438" s="6"/>
      <c r="M438" s="1" t="s">
        <v>973</v>
      </c>
      <c r="N438" s="1">
        <v>1</v>
      </c>
      <c r="O438" s="1" t="s">
        <v>973</v>
      </c>
      <c r="P438" s="1" t="s">
        <v>973</v>
      </c>
      <c r="Q438" s="1" t="s">
        <v>973</v>
      </c>
      <c r="R438" s="1" t="s">
        <v>973</v>
      </c>
      <c r="S438" s="1"/>
      <c r="T438" s="6"/>
      <c r="U438" s="11">
        <v>7.5529062614386353</v>
      </c>
      <c r="V438" s="11">
        <v>8.4935739528446472</v>
      </c>
      <c r="W438" s="11">
        <v>5.1423984607806652</v>
      </c>
      <c r="X438" s="11">
        <v>5.9767592380066255</v>
      </c>
      <c r="Y438" s="11">
        <v>5.8283827846979248</v>
      </c>
      <c r="Z438" s="11">
        <v>5.4766247087151001</v>
      </c>
      <c r="AA438" s="11">
        <v>5.8281449488266484</v>
      </c>
      <c r="AB438" s="11">
        <v>4.9458246029915625</v>
      </c>
      <c r="AC438" s="11">
        <v>1.6380583865486842</v>
      </c>
      <c r="AD438" s="11">
        <v>0</v>
      </c>
      <c r="AE438" s="11">
        <v>0.54349588342577182</v>
      </c>
      <c r="AF438" s="11">
        <v>0.25801633106716926</v>
      </c>
      <c r="AG438" s="11">
        <v>0.31490916854998957</v>
      </c>
      <c r="AH438" s="11">
        <v>0</v>
      </c>
      <c r="AI438" s="11">
        <v>1.6926950002822698</v>
      </c>
      <c r="AJ438" s="11">
        <v>1.0329001592920588</v>
      </c>
      <c r="AK438" s="6"/>
      <c r="AL438" t="s">
        <v>1077</v>
      </c>
      <c r="AM438" s="12">
        <v>4597</v>
      </c>
      <c r="AN438" s="6"/>
      <c r="AO438" s="20">
        <v>6.4356999999999998</v>
      </c>
      <c r="AP438" s="20">
        <v>9.2187000000000001</v>
      </c>
      <c r="AQ438" s="20">
        <v>5.6074999999999999</v>
      </c>
      <c r="AR438" s="20">
        <v>7.0155000000000003</v>
      </c>
      <c r="AS438" s="20">
        <v>6.9059999999999997</v>
      </c>
      <c r="AT438" s="20">
        <v>7.2404000000000002</v>
      </c>
      <c r="AU438" s="20">
        <v>4.4802</v>
      </c>
      <c r="AV438" s="20">
        <v>4.6162000000000001</v>
      </c>
      <c r="AW438" s="6"/>
      <c r="AX438" s="18">
        <v>1.285E-14</v>
      </c>
      <c r="AY438" s="18">
        <v>2.9559999999999999E-15</v>
      </c>
      <c r="AZ438" s="18">
        <v>7.0799999999999999E-8</v>
      </c>
      <c r="BA438" s="18">
        <v>6.2570000000000002E-10</v>
      </c>
      <c r="BB438" s="18">
        <v>2.8220000000000001E-11</v>
      </c>
      <c r="BC438" s="18">
        <v>1.467E-9</v>
      </c>
      <c r="BD438" s="18">
        <v>1.393E-8</v>
      </c>
      <c r="BE438" s="18">
        <v>3.6609999999999998E-7</v>
      </c>
      <c r="BF438" s="13"/>
      <c r="BG438" t="s">
        <v>1191</v>
      </c>
      <c r="BH438" t="s">
        <v>1132</v>
      </c>
      <c r="BI438" t="s">
        <v>1113</v>
      </c>
      <c r="BJ438" t="s">
        <v>1114</v>
      </c>
      <c r="BK438" t="s">
        <v>1115</v>
      </c>
      <c r="BL438" t="s">
        <v>1116</v>
      </c>
      <c r="BM438" t="s">
        <v>1117</v>
      </c>
      <c r="BN438" s="13"/>
      <c r="BO438" t="s">
        <v>973</v>
      </c>
      <c r="BP438" t="s">
        <v>973</v>
      </c>
      <c r="BQ438">
        <v>1</v>
      </c>
      <c r="BR438" t="s">
        <v>973</v>
      </c>
    </row>
    <row r="439" spans="1:70" x14ac:dyDescent="0.25">
      <c r="A439" t="s">
        <v>853</v>
      </c>
      <c r="B439" t="s">
        <v>851</v>
      </c>
      <c r="C439" t="s">
        <v>209</v>
      </c>
      <c r="D439" s="6"/>
      <c r="E439" s="9" t="str">
        <f>HYPERLINK("http://plants.ensembl.org/Triticum_aestivum/Gene/Summary?g=TRIAE_CS42_7AS_TGACv1_569265_AA1811990","TRIAE_CS42_7AS_TGACv1_569265_AA1811990")</f>
        <v>TRIAE_CS42_7AS_TGACv1_569265_AA1811990</v>
      </c>
      <c r="F439" s="9"/>
      <c r="H439" s="1" t="s">
        <v>1051</v>
      </c>
      <c r="I439" s="1" t="s">
        <v>1051</v>
      </c>
      <c r="J439" s="1" t="s">
        <v>1051</v>
      </c>
      <c r="L439" s="6"/>
      <c r="M439" s="1" t="s">
        <v>973</v>
      </c>
      <c r="N439" s="1">
        <v>1</v>
      </c>
      <c r="O439" s="1" t="s">
        <v>973</v>
      </c>
      <c r="P439" s="1" t="s">
        <v>973</v>
      </c>
      <c r="Q439" s="1" t="s">
        <v>973</v>
      </c>
      <c r="R439" s="1" t="s">
        <v>973</v>
      </c>
      <c r="S439" s="1"/>
      <c r="T439" s="6"/>
      <c r="U439" s="11">
        <v>6.9193229982125377</v>
      </c>
      <c r="V439" s="11">
        <v>8.0669278271732896</v>
      </c>
      <c r="W439" s="11">
        <v>5.0951508381013406</v>
      </c>
      <c r="X439" s="11">
        <v>5.4299774295059233</v>
      </c>
      <c r="Y439" s="11">
        <v>6.5413119384594296</v>
      </c>
      <c r="Z439" s="11">
        <v>5.8447312865780638</v>
      </c>
      <c r="AA439" s="11">
        <v>5.3820527431291634</v>
      </c>
      <c r="AB439" s="11">
        <v>4.3212258123981933</v>
      </c>
      <c r="AC439" s="11">
        <v>1.9076213759805043</v>
      </c>
      <c r="AD439" s="11">
        <v>0.70327792398137323</v>
      </c>
      <c r="AE439" s="11">
        <v>0.93947735037630908</v>
      </c>
      <c r="AF439" s="11">
        <v>0.73768676140986023</v>
      </c>
      <c r="AG439" s="11">
        <v>0.76564789447808079</v>
      </c>
      <c r="AH439" s="11">
        <v>1.8205942626226006</v>
      </c>
      <c r="AI439" s="11">
        <v>2.1588755672610356</v>
      </c>
      <c r="AJ439" s="11">
        <v>1.9466809606162008</v>
      </c>
      <c r="AK439" s="6"/>
      <c r="AL439" t="s">
        <v>1077</v>
      </c>
      <c r="AM439">
        <v>816</v>
      </c>
      <c r="AN439" s="6"/>
      <c r="AO439" s="20">
        <v>5.4402999999999997</v>
      </c>
      <c r="AP439" s="20">
        <v>7.5933999999999999</v>
      </c>
      <c r="AQ439" s="20">
        <v>5.0186000000000002</v>
      </c>
      <c r="AR439" s="20">
        <v>5.4112</v>
      </c>
      <c r="AS439" s="20">
        <v>6.7584999999999997</v>
      </c>
      <c r="AT439" s="20">
        <v>4.3948999999999998</v>
      </c>
      <c r="AU439" s="20">
        <v>3.4420000000000002</v>
      </c>
      <c r="AV439" s="20">
        <v>2.6522000000000001</v>
      </c>
      <c r="AW439" s="6"/>
      <c r="AX439" s="18">
        <v>1.5880000000000001E-12</v>
      </c>
      <c r="AY439" s="18">
        <v>4.8219999999999999E-15</v>
      </c>
      <c r="AZ439" s="18">
        <v>5.2829999999999997E-8</v>
      </c>
      <c r="BA439" s="18">
        <v>8.8580000000000006E-9</v>
      </c>
      <c r="BB439" s="18">
        <v>8.2290000000000002E-15</v>
      </c>
      <c r="BC439" s="18">
        <v>1.061E-8</v>
      </c>
      <c r="BD439" s="18">
        <v>1.477E-6</v>
      </c>
      <c r="BE439" s="18">
        <v>4.0089999999999999E-4</v>
      </c>
      <c r="BF439" s="13"/>
      <c r="BG439" t="s">
        <v>1191</v>
      </c>
      <c r="BH439" t="s">
        <v>1211</v>
      </c>
      <c r="BI439" t="s">
        <v>1113</v>
      </c>
      <c r="BJ439" t="s">
        <v>1114</v>
      </c>
      <c r="BK439" t="s">
        <v>1115</v>
      </c>
      <c r="BL439" t="s">
        <v>1116</v>
      </c>
      <c r="BM439" t="s">
        <v>1117</v>
      </c>
      <c r="BN439" s="13"/>
      <c r="BO439" t="s">
        <v>973</v>
      </c>
      <c r="BP439" t="s">
        <v>973</v>
      </c>
      <c r="BQ439" t="s">
        <v>973</v>
      </c>
      <c r="BR439" t="s">
        <v>973</v>
      </c>
    </row>
    <row r="440" spans="1:70" x14ac:dyDescent="0.25">
      <c r="A440" t="s">
        <v>902</v>
      </c>
      <c r="B440" t="s">
        <v>549</v>
      </c>
      <c r="C440" t="s">
        <v>209</v>
      </c>
      <c r="D440" s="6"/>
      <c r="E440" s="9" t="str">
        <f>HYPERLINK("http://plants.ensembl.org/Triticum_aestivum/Gene/Summary?g=TRIAE_CS42_7BS_TGACv1_593141_AA1948510","TRIAE_CS42_7BS_TGACv1_593141_AA1948510")</f>
        <v>TRIAE_CS42_7BS_TGACv1_593141_AA1948510</v>
      </c>
      <c r="H440" s="8" t="str">
        <f>HYPERLINK("http://plants.ensembl.org/Brachypodium_distachyon/Gene/Summary?g=Bradi3g23190","Bradi3g23190")</f>
        <v>Bradi3g23190</v>
      </c>
      <c r="I440" s="1" t="s">
        <v>1051</v>
      </c>
      <c r="J440" s="9" t="str">
        <f>HYPERLINK("http://plants.ensembl.org/Oryza_sativa/Gene/Summary?db=otherfeatures;g=LOC_Os10g25230","LOC_Os10g25230")</f>
        <v>LOC_Os10g25230</v>
      </c>
      <c r="L440" s="6"/>
      <c r="M440" s="1" t="s">
        <v>973</v>
      </c>
      <c r="N440" s="1">
        <v>1</v>
      </c>
      <c r="O440" s="1" t="s">
        <v>973</v>
      </c>
      <c r="P440" s="1" t="s">
        <v>973</v>
      </c>
      <c r="Q440" s="1" t="s">
        <v>973</v>
      </c>
      <c r="R440" s="1" t="s">
        <v>973</v>
      </c>
      <c r="S440" s="1"/>
      <c r="T440" s="6"/>
      <c r="U440" s="11">
        <v>7.0331248871833028</v>
      </c>
      <c r="V440" s="11">
        <v>7.8182513155653774</v>
      </c>
      <c r="W440" s="11">
        <v>4.4101556446859256</v>
      </c>
      <c r="X440" s="11">
        <v>5.5815972999008956</v>
      </c>
      <c r="Y440" s="11">
        <v>5.6815448421010117</v>
      </c>
      <c r="Z440" s="11">
        <v>5.4496857205431954</v>
      </c>
      <c r="AA440" s="11">
        <v>5.8981107826434203</v>
      </c>
      <c r="AB440" s="11">
        <v>4.4799914666663812</v>
      </c>
      <c r="AC440" s="11">
        <v>0.50260217423209885</v>
      </c>
      <c r="AD440" s="11">
        <v>0</v>
      </c>
      <c r="AE440" s="11">
        <v>0</v>
      </c>
      <c r="AF440" s="11">
        <v>0.25801633106716926</v>
      </c>
      <c r="AG440" s="11">
        <v>0.44985186519090581</v>
      </c>
      <c r="AH440" s="11">
        <v>0</v>
      </c>
      <c r="AI440" s="11">
        <v>2.7102462333193258</v>
      </c>
      <c r="AJ440" s="11">
        <v>1.9553376045903192</v>
      </c>
      <c r="AK440" s="6"/>
      <c r="AL440" t="s">
        <v>1077</v>
      </c>
      <c r="AM440">
        <v>660</v>
      </c>
      <c r="AN440" s="6"/>
      <c r="AO440" s="20">
        <v>7.7588999999999997</v>
      </c>
      <c r="AP440" s="20">
        <v>8.3923000000000005</v>
      </c>
      <c r="AQ440" s="20">
        <v>6.1952999999999996</v>
      </c>
      <c r="AR440" s="20">
        <v>6.5195999999999996</v>
      </c>
      <c r="AS440" s="20">
        <v>6.2794999999999996</v>
      </c>
      <c r="AT440" s="20">
        <v>7.0928000000000004</v>
      </c>
      <c r="AU440" s="20">
        <v>3.2545999999999999</v>
      </c>
      <c r="AV440" s="20">
        <v>2.7484000000000002</v>
      </c>
      <c r="AW440" s="6"/>
      <c r="AX440" s="18">
        <v>1.1470000000000001E-9</v>
      </c>
      <c r="AY440" s="18">
        <v>1.024E-10</v>
      </c>
      <c r="AZ440" s="18">
        <v>3.2600000000000001E-6</v>
      </c>
      <c r="BA440" s="18">
        <v>3.0759999999999998E-7</v>
      </c>
      <c r="BB440" s="18">
        <v>4.1570000000000001E-8</v>
      </c>
      <c r="BC440" s="18">
        <v>9.1030000000000002E-8</v>
      </c>
      <c r="BD440" s="18">
        <v>6.8389999999999998E-4</v>
      </c>
      <c r="BE440" s="18">
        <v>6.0930000000000003E-3</v>
      </c>
      <c r="BF440" s="13"/>
      <c r="BG440" t="s">
        <v>1191</v>
      </c>
      <c r="BH440" t="s">
        <v>1383</v>
      </c>
      <c r="BI440" t="s">
        <v>1113</v>
      </c>
      <c r="BJ440" t="s">
        <v>1114</v>
      </c>
      <c r="BK440" t="s">
        <v>1115</v>
      </c>
      <c r="BL440" t="s">
        <v>1116</v>
      </c>
      <c r="BM440" t="s">
        <v>1117</v>
      </c>
      <c r="BN440" s="13"/>
      <c r="BO440" t="s">
        <v>973</v>
      </c>
      <c r="BP440" t="s">
        <v>973</v>
      </c>
      <c r="BQ440" t="s">
        <v>973</v>
      </c>
      <c r="BR440" t="s">
        <v>973</v>
      </c>
    </row>
    <row r="441" spans="1:70" x14ac:dyDescent="0.25">
      <c r="A441" t="s">
        <v>903</v>
      </c>
      <c r="B441" t="s">
        <v>851</v>
      </c>
      <c r="C441" t="s">
        <v>209</v>
      </c>
      <c r="D441" s="6"/>
      <c r="E441" s="9" t="str">
        <f>HYPERLINK("http://plants.ensembl.org/Triticum_aestivum/Gene/Summary?g=TRIAE_CS42_7BS_TGACv1_593141_AA1948520","TRIAE_CS42_7BS_TGACv1_593141_AA1948520")</f>
        <v>TRIAE_CS42_7BS_TGACv1_593141_AA1948520</v>
      </c>
      <c r="H441" s="1" t="s">
        <v>1051</v>
      </c>
      <c r="I441" s="1" t="s">
        <v>1051</v>
      </c>
      <c r="J441" s="1" t="s">
        <v>1051</v>
      </c>
      <c r="L441" s="6"/>
      <c r="M441" s="1" t="s">
        <v>973</v>
      </c>
      <c r="N441" s="1">
        <v>1</v>
      </c>
      <c r="O441" s="1" t="s">
        <v>973</v>
      </c>
      <c r="P441" s="1" t="s">
        <v>973</v>
      </c>
      <c r="Q441" s="1" t="s">
        <v>973</v>
      </c>
      <c r="R441" s="1" t="s">
        <v>973</v>
      </c>
      <c r="S441" s="1"/>
      <c r="T441" s="6"/>
      <c r="U441" s="11">
        <v>8.3090433666729027</v>
      </c>
      <c r="V441" s="11">
        <v>9.500065462905285</v>
      </c>
      <c r="W441" s="11">
        <v>6.4872156685708227</v>
      </c>
      <c r="X441" s="11">
        <v>6.8283383521486716</v>
      </c>
      <c r="Y441" s="11">
        <v>7.687590540634698</v>
      </c>
      <c r="Z441" s="11">
        <v>6.9810313921813423</v>
      </c>
      <c r="AA441" s="11">
        <v>6.902786708772509</v>
      </c>
      <c r="AB441" s="11">
        <v>5.880221855611623</v>
      </c>
      <c r="AC441" s="11">
        <v>2.688545929318237</v>
      </c>
      <c r="AD441" s="11">
        <v>0.71861369897548444</v>
      </c>
      <c r="AE441" s="11">
        <v>0.81838703565222393</v>
      </c>
      <c r="AF441" s="11">
        <v>0.98484451074783097</v>
      </c>
      <c r="AG441" s="11">
        <v>0.95907769323395053</v>
      </c>
      <c r="AH441" s="11">
        <v>0</v>
      </c>
      <c r="AI441" s="11">
        <v>2.3669795836510419</v>
      </c>
      <c r="AJ441" s="11">
        <v>1.8495056038982594</v>
      </c>
      <c r="AK441" s="6"/>
      <c r="AL441" t="s">
        <v>1077</v>
      </c>
      <c r="AM441">
        <v>1752</v>
      </c>
      <c r="AN441" s="6"/>
      <c r="AO441" s="20">
        <v>5.8361999999999998</v>
      </c>
      <c r="AP441" s="20">
        <v>8.9222999999999999</v>
      </c>
      <c r="AQ441" s="20">
        <v>6.4066000000000001</v>
      </c>
      <c r="AR441" s="20">
        <v>6.2256</v>
      </c>
      <c r="AS441" s="20">
        <v>7.3901000000000003</v>
      </c>
      <c r="AT441" s="20">
        <v>8.5838000000000001</v>
      </c>
      <c r="AU441" s="20">
        <v>4.7034000000000002</v>
      </c>
      <c r="AV441" s="20">
        <v>4.3254000000000001</v>
      </c>
      <c r="AW441" s="6"/>
      <c r="AX441" s="18">
        <v>1.9519999999999998E-14</v>
      </c>
      <c r="AY441" s="18">
        <v>4.9509999999999997E-19</v>
      </c>
      <c r="AZ441" s="18">
        <v>2.9369999999999998E-11</v>
      </c>
      <c r="BA441" s="18">
        <v>5.8710000000000003E-12</v>
      </c>
      <c r="BB441" s="18">
        <v>1.029E-17</v>
      </c>
      <c r="BC441" s="18">
        <v>1.29E-12</v>
      </c>
      <c r="BD441" s="18">
        <v>6.4160000000000004E-10</v>
      </c>
      <c r="BE441" s="18">
        <v>7.0869999999999999E-8</v>
      </c>
      <c r="BF441" s="13"/>
      <c r="BG441" t="s">
        <v>1272</v>
      </c>
      <c r="BH441" t="s">
        <v>1211</v>
      </c>
      <c r="BI441" t="s">
        <v>1113</v>
      </c>
      <c r="BJ441" t="s">
        <v>1114</v>
      </c>
      <c r="BK441" t="s">
        <v>1115</v>
      </c>
      <c r="BL441" t="s">
        <v>1116</v>
      </c>
      <c r="BM441" t="s">
        <v>1117</v>
      </c>
      <c r="BN441" s="13"/>
      <c r="BO441" t="s">
        <v>973</v>
      </c>
      <c r="BP441" t="s">
        <v>973</v>
      </c>
      <c r="BQ441" t="s">
        <v>973</v>
      </c>
      <c r="BR441" t="s">
        <v>973</v>
      </c>
    </row>
    <row r="442" spans="1:70" x14ac:dyDescent="0.25">
      <c r="A442" t="s">
        <v>904</v>
      </c>
      <c r="B442" t="s">
        <v>851</v>
      </c>
      <c r="C442" t="s">
        <v>209</v>
      </c>
      <c r="D442" s="6"/>
      <c r="E442" s="9" t="str">
        <f>HYPERLINK("http://plants.ensembl.org/Triticum_aestivum/Gene/Summary?g=TRIAE_CS42_7BS_TGACv1_593141_AA1948530","TRIAE_CS42_7BS_TGACv1_593141_AA1948530")</f>
        <v>TRIAE_CS42_7BS_TGACv1_593141_AA1948530</v>
      </c>
      <c r="H442" s="1" t="s">
        <v>1051</v>
      </c>
      <c r="I442" s="1" t="s">
        <v>1051</v>
      </c>
      <c r="J442" s="1" t="s">
        <v>1051</v>
      </c>
      <c r="L442" s="6"/>
      <c r="M442" s="1" t="s">
        <v>973</v>
      </c>
      <c r="N442" s="1">
        <v>1</v>
      </c>
      <c r="O442" s="1" t="s">
        <v>973</v>
      </c>
      <c r="P442" s="1" t="s">
        <v>973</v>
      </c>
      <c r="Q442" s="1" t="s">
        <v>973</v>
      </c>
      <c r="R442" s="1" t="s">
        <v>973</v>
      </c>
      <c r="S442" s="1"/>
      <c r="T442" s="6"/>
      <c r="U442" s="11">
        <v>7.3374015787246778</v>
      </c>
      <c r="V442" s="11">
        <v>8.2429243073810667</v>
      </c>
      <c r="W442" s="11">
        <v>5.4994611171006902</v>
      </c>
      <c r="X442" s="11">
        <v>5.9021765104020032</v>
      </c>
      <c r="Y442" s="11">
        <v>7.2470410594050891</v>
      </c>
      <c r="Z442" s="11">
        <v>6.5191843734988311</v>
      </c>
      <c r="AA442" s="11">
        <v>6.5415659474273067</v>
      </c>
      <c r="AB442" s="11">
        <v>5.29709357024747</v>
      </c>
      <c r="AC442" s="11">
        <v>3.2402837957822244</v>
      </c>
      <c r="AD442" s="11">
        <v>0.39407506562573752</v>
      </c>
      <c r="AE442" s="11">
        <v>0.38508125054108833</v>
      </c>
      <c r="AF442" s="11">
        <v>0.98484451074783097</v>
      </c>
      <c r="AG442" s="11">
        <v>1.3849155325218765</v>
      </c>
      <c r="AH442" s="11">
        <v>0</v>
      </c>
      <c r="AI442" s="11">
        <v>3.1131503834780943</v>
      </c>
      <c r="AJ442" s="11">
        <v>2.1334210465428258</v>
      </c>
      <c r="AK442" s="6"/>
      <c r="AL442" t="s">
        <v>1077</v>
      </c>
      <c r="AM442">
        <v>835</v>
      </c>
      <c r="AN442" s="6"/>
      <c r="AO442" s="20">
        <v>4.2397</v>
      </c>
      <c r="AP442" s="20">
        <v>8.2245000000000008</v>
      </c>
      <c r="AQ442" s="20">
        <v>6.4755000000000003</v>
      </c>
      <c r="AR442" s="20">
        <v>5.3251999999999997</v>
      </c>
      <c r="AS442" s="20">
        <v>6.2538</v>
      </c>
      <c r="AT442" s="20">
        <v>8.1860999999999997</v>
      </c>
      <c r="AU442" s="20">
        <v>3.5203000000000002</v>
      </c>
      <c r="AV442" s="20">
        <v>3.4028999999999998</v>
      </c>
      <c r="AW442" s="6"/>
      <c r="AX442" s="18">
        <v>1.612E-9</v>
      </c>
      <c r="AY442" s="18">
        <v>5.0009999999999998E-15</v>
      </c>
      <c r="AZ442" s="18">
        <v>1.1700000000000001E-8</v>
      </c>
      <c r="BA442" s="18">
        <v>1.4829999999999999E-9</v>
      </c>
      <c r="BB442" s="18">
        <v>4.209E-16</v>
      </c>
      <c r="BC442" s="18">
        <v>6.7340000000000002E-12</v>
      </c>
      <c r="BD442" s="18">
        <v>3.742E-7</v>
      </c>
      <c r="BE442" s="18">
        <v>5.8150000000000002E-6</v>
      </c>
      <c r="BF442" s="13"/>
      <c r="BG442" t="s">
        <v>1143</v>
      </c>
      <c r="BH442" t="s">
        <v>1211</v>
      </c>
      <c r="BI442" t="s">
        <v>1113</v>
      </c>
      <c r="BJ442" t="s">
        <v>1114</v>
      </c>
      <c r="BK442" t="s">
        <v>1115</v>
      </c>
      <c r="BL442" t="s">
        <v>1204</v>
      </c>
      <c r="BM442" t="s">
        <v>1117</v>
      </c>
      <c r="BN442" s="13"/>
      <c r="BO442" t="s">
        <v>973</v>
      </c>
      <c r="BP442" t="s">
        <v>973</v>
      </c>
      <c r="BQ442" t="s">
        <v>973</v>
      </c>
      <c r="BR442" t="s">
        <v>973</v>
      </c>
    </row>
    <row r="443" spans="1:70" x14ac:dyDescent="0.25">
      <c r="A443" t="s">
        <v>905</v>
      </c>
      <c r="B443" t="s">
        <v>851</v>
      </c>
      <c r="C443" t="s">
        <v>209</v>
      </c>
      <c r="D443" s="6"/>
      <c r="E443" s="9" t="str">
        <f>HYPERLINK("http://plants.ensembl.org/Triticum_aestivum/Gene/Summary?g=TRIAE_CS42_7BS_TGACv1_594814_AA1958450","TRIAE_CS42_7BS_TGACv1_594814_AA1958450")</f>
        <v>TRIAE_CS42_7BS_TGACv1_594814_AA1958450</v>
      </c>
      <c r="H443" s="1" t="s">
        <v>1051</v>
      </c>
      <c r="I443" s="1" t="s">
        <v>1051</v>
      </c>
      <c r="J443" s="1" t="s">
        <v>1051</v>
      </c>
      <c r="L443" s="6"/>
      <c r="M443" s="1" t="s">
        <v>973</v>
      </c>
      <c r="N443" s="1">
        <v>1</v>
      </c>
      <c r="O443" s="1" t="s">
        <v>973</v>
      </c>
      <c r="P443" s="1" t="s">
        <v>973</v>
      </c>
      <c r="Q443" s="1" t="s">
        <v>973</v>
      </c>
      <c r="R443" s="1" t="s">
        <v>973</v>
      </c>
      <c r="S443" s="1"/>
      <c r="T443" s="6"/>
      <c r="U443" s="11">
        <v>5.806678929783252</v>
      </c>
      <c r="V443" s="11">
        <v>6.9396610920356459</v>
      </c>
      <c r="W443" s="11">
        <v>4.0378009703826701</v>
      </c>
      <c r="X443" s="11">
        <v>5.0846978566574403</v>
      </c>
      <c r="Y443" s="11">
        <v>5.7485873559636254</v>
      </c>
      <c r="Z443" s="11">
        <v>5.0958316120693024</v>
      </c>
      <c r="AA443" s="11">
        <v>5.049714980556951</v>
      </c>
      <c r="AB443" s="11">
        <v>3.4289240187681842</v>
      </c>
      <c r="AC443" s="11">
        <v>1.0399805976908814</v>
      </c>
      <c r="AD443" s="11">
        <v>0</v>
      </c>
      <c r="AE443" s="11">
        <v>0.29721098503322341</v>
      </c>
      <c r="AF443" s="11">
        <v>0.47677914088184625</v>
      </c>
      <c r="AG443" s="11">
        <v>0.40689942983516691</v>
      </c>
      <c r="AH443" s="11">
        <v>0</v>
      </c>
      <c r="AI443" s="11">
        <v>1.9125476783626478</v>
      </c>
      <c r="AJ443" s="11">
        <v>1.3551478566709394</v>
      </c>
      <c r="AK443" s="6"/>
      <c r="AL443" t="s">
        <v>1077</v>
      </c>
      <c r="AM443">
        <v>801</v>
      </c>
      <c r="AN443" s="6"/>
      <c r="AO443" s="20">
        <v>5.6444000000000001</v>
      </c>
      <c r="AP443" s="20">
        <v>7.6902999999999997</v>
      </c>
      <c r="AQ443" s="20">
        <v>5.1524000000000001</v>
      </c>
      <c r="AR443" s="20">
        <v>5.5839999999999996</v>
      </c>
      <c r="AS443" s="20">
        <v>6.7949999999999999</v>
      </c>
      <c r="AT443" s="20">
        <v>6.91</v>
      </c>
      <c r="AU443" s="20">
        <v>3.4291999999999998</v>
      </c>
      <c r="AV443" s="20">
        <v>2.5366</v>
      </c>
      <c r="AW443" s="6"/>
      <c r="AX443" s="18">
        <v>8.8979999999999997E-9</v>
      </c>
      <c r="AY443" s="18">
        <v>1.335E-10</v>
      </c>
      <c r="AZ443" s="18">
        <v>1.5379999999999998E-5</v>
      </c>
      <c r="BA443" s="18">
        <v>2.0160000000000001E-7</v>
      </c>
      <c r="BB443" s="18">
        <v>9.3250000000000001E-11</v>
      </c>
      <c r="BC443" s="18">
        <v>1.102E-8</v>
      </c>
      <c r="BD443" s="18">
        <v>1.521E-5</v>
      </c>
      <c r="BE443" s="18">
        <v>4.3270000000000001E-3</v>
      </c>
      <c r="BF443" s="13"/>
      <c r="BG443" t="s">
        <v>1125</v>
      </c>
      <c r="BH443" t="s">
        <v>1126</v>
      </c>
      <c r="BI443" t="s">
        <v>1113</v>
      </c>
      <c r="BJ443" t="s">
        <v>1114</v>
      </c>
      <c r="BK443" t="s">
        <v>1115</v>
      </c>
      <c r="BL443" t="s">
        <v>1116</v>
      </c>
      <c r="BM443" t="s">
        <v>1117</v>
      </c>
      <c r="BN443" s="13"/>
      <c r="BO443" t="s">
        <v>973</v>
      </c>
      <c r="BP443">
        <v>1</v>
      </c>
      <c r="BQ443" t="s">
        <v>973</v>
      </c>
      <c r="BR443" t="s">
        <v>973</v>
      </c>
    </row>
    <row r="444" spans="1:70" x14ac:dyDescent="0.25">
      <c r="A444" t="s">
        <v>906</v>
      </c>
      <c r="B444" t="s">
        <v>907</v>
      </c>
      <c r="C444" t="s">
        <v>209</v>
      </c>
      <c r="D444" s="6"/>
      <c r="E444" s="9" t="str">
        <f>HYPERLINK("http://plants.ensembl.org/Triticum_aestivum/Gene/Summary?g=TRIAE_CS42_7BS_TGACv1_593362_AA1950810","TRIAE_CS42_7BS_TGACv1_593362_AA1950810")</f>
        <v>TRIAE_CS42_7BS_TGACv1_593362_AA1950810</v>
      </c>
      <c r="F444" s="9"/>
      <c r="H444" s="1" t="s">
        <v>1051</v>
      </c>
      <c r="I444" s="1" t="s">
        <v>1051</v>
      </c>
      <c r="J444" s="1" t="s">
        <v>1051</v>
      </c>
      <c r="L444" s="6"/>
      <c r="M444" s="1" t="s">
        <v>973</v>
      </c>
      <c r="N444" s="1">
        <v>1</v>
      </c>
      <c r="O444" s="1" t="s">
        <v>973</v>
      </c>
      <c r="P444" s="1" t="s">
        <v>973</v>
      </c>
      <c r="Q444" s="1" t="s">
        <v>973</v>
      </c>
      <c r="R444" s="1" t="s">
        <v>973</v>
      </c>
      <c r="S444" s="1"/>
      <c r="T444" s="6"/>
      <c r="U444" s="11">
        <v>6.4003648686627157</v>
      </c>
      <c r="V444" s="11">
        <v>6.8377296803156344</v>
      </c>
      <c r="W444" s="11">
        <v>4.2201390276665931</v>
      </c>
      <c r="X444" s="11">
        <v>5.0866804621277986</v>
      </c>
      <c r="Y444" s="11">
        <v>5.9586957695551135</v>
      </c>
      <c r="Z444" s="11">
        <v>5.3060665515835304</v>
      </c>
      <c r="AA444" s="11">
        <v>5.8583623468584767</v>
      </c>
      <c r="AB444" s="11">
        <v>3.4363750822445391</v>
      </c>
      <c r="AC444" s="11">
        <v>1.8193548162651614</v>
      </c>
      <c r="AD444" s="11">
        <v>0.99605123444680965</v>
      </c>
      <c r="AE444" s="11">
        <v>1.0822938359514309</v>
      </c>
      <c r="AF444" s="11">
        <v>1.2453333936027668</v>
      </c>
      <c r="AG444" s="11">
        <v>1.6813892923338165</v>
      </c>
      <c r="AH444" s="11">
        <v>0.71852602646226216</v>
      </c>
      <c r="AI444" s="11">
        <v>3.2742666317740357</v>
      </c>
      <c r="AJ444" s="11">
        <v>2.0412079309061619</v>
      </c>
      <c r="AK444" s="6"/>
      <c r="AL444" t="s">
        <v>1077</v>
      </c>
      <c r="AM444">
        <v>638</v>
      </c>
      <c r="AN444" s="6"/>
      <c r="AO444" s="20">
        <v>5.1181000000000001</v>
      </c>
      <c r="AP444" s="20">
        <v>6.0202</v>
      </c>
      <c r="AQ444" s="20">
        <v>3.8302999999999998</v>
      </c>
      <c r="AR444" s="20">
        <v>4.1180000000000003</v>
      </c>
      <c r="AS444" s="20">
        <v>4.6818</v>
      </c>
      <c r="AT444" s="20">
        <v>5.5938999999999997</v>
      </c>
      <c r="AU444" s="20">
        <v>2.6758000000000002</v>
      </c>
      <c r="AV444" s="20">
        <v>1.6097999999999999</v>
      </c>
      <c r="AW444" s="6"/>
      <c r="AX444" s="18">
        <v>3.8360000000000002E-12</v>
      </c>
      <c r="AY444" s="18">
        <v>1.025E-11</v>
      </c>
      <c r="AZ444" s="18">
        <v>5.135E-6</v>
      </c>
      <c r="BA444" s="18">
        <v>6.4630000000000004E-8</v>
      </c>
      <c r="BB444" s="18">
        <v>1.604E-12</v>
      </c>
      <c r="BC444" s="18">
        <v>9.2229999999999993E-9</v>
      </c>
      <c r="BD444" s="18">
        <v>5.7150000000000003E-6</v>
      </c>
      <c r="BE444" s="18">
        <v>2.2519999999999998E-2</v>
      </c>
      <c r="BF444" s="13"/>
      <c r="BG444" t="s">
        <v>1125</v>
      </c>
      <c r="BH444" t="s">
        <v>1126</v>
      </c>
      <c r="BI444" t="s">
        <v>1113</v>
      </c>
      <c r="BJ444" t="s">
        <v>1114</v>
      </c>
      <c r="BK444" t="s">
        <v>1115</v>
      </c>
      <c r="BL444" t="s">
        <v>1116</v>
      </c>
      <c r="BM444" t="s">
        <v>1117</v>
      </c>
      <c r="BN444" s="13"/>
      <c r="BO444" t="s">
        <v>973</v>
      </c>
      <c r="BP444">
        <v>1</v>
      </c>
      <c r="BQ444" t="s">
        <v>973</v>
      </c>
      <c r="BR444" t="s">
        <v>973</v>
      </c>
    </row>
    <row r="445" spans="1:70" x14ac:dyDescent="0.25">
      <c r="A445" t="s">
        <v>939</v>
      </c>
      <c r="B445" t="s">
        <v>851</v>
      </c>
      <c r="C445" t="s">
        <v>209</v>
      </c>
      <c r="D445" s="6"/>
      <c r="E445" s="9" t="str">
        <f>HYPERLINK("http://plants.ensembl.org/Triticum_aestivum/Gene/Summary?g=TRIAE_CS42_7DS_TGACv1_623292_AA2051660","TRIAE_CS42_7DS_TGACv1_623292_AA2051660")</f>
        <v>TRIAE_CS42_7DS_TGACv1_623292_AA2051660</v>
      </c>
      <c r="F445" s="9" t="str">
        <f>HYPERLINK("http://mar2016-plants.ensembl.org/Triticum_aestivum/Gene/Summary?db=core;g=Traes_7DS_4736EB23B1","Traes_7DS_4736EB23B1")</f>
        <v>Traes_7DS_4736EB23B1</v>
      </c>
      <c r="H445" s="8" t="str">
        <f>HYPERLINK("http://plants.ensembl.org/Brachypodium_distachyon/Gene/Summary?g=Bradi3g23190","Bradi3g23190")</f>
        <v>Bradi3g23190</v>
      </c>
      <c r="I445" s="1" t="s">
        <v>1051</v>
      </c>
      <c r="J445" s="9" t="str">
        <f>HYPERLINK("http://plants.ensembl.org/Oryza_sativa/Gene/Summary?db=otherfeatures;g=LOC_Os10g25230","LOC_Os10g25230")</f>
        <v>LOC_Os10g25230</v>
      </c>
      <c r="L445" s="6"/>
      <c r="M445" s="1" t="s">
        <v>973</v>
      </c>
      <c r="N445" s="1">
        <v>1</v>
      </c>
      <c r="O445" s="1" t="s">
        <v>973</v>
      </c>
      <c r="P445" s="1" t="s">
        <v>973</v>
      </c>
      <c r="Q445" s="1" t="s">
        <v>973</v>
      </c>
      <c r="R445" s="1" t="s">
        <v>973</v>
      </c>
      <c r="S445" s="1"/>
      <c r="T445" s="6"/>
      <c r="U445" s="11">
        <v>6.1367710608156614</v>
      </c>
      <c r="V445" s="11">
        <v>7.2589123961471218</v>
      </c>
      <c r="W445" s="11">
        <v>4.2940055579494389</v>
      </c>
      <c r="X445" s="11">
        <v>4.5005365149582888</v>
      </c>
      <c r="Y445" s="11">
        <v>5.9879423219795065</v>
      </c>
      <c r="Z445" s="11">
        <v>5.156199734729233</v>
      </c>
      <c r="AA445" s="11">
        <v>5.5949416144747159</v>
      </c>
      <c r="AB445" s="11">
        <v>3.5564825524098884</v>
      </c>
      <c r="AC445" s="11">
        <v>1.8076159575434572</v>
      </c>
      <c r="AD445" s="11">
        <v>0.39407506562573752</v>
      </c>
      <c r="AE445" s="11">
        <v>0.61795666809593053</v>
      </c>
      <c r="AF445" s="11">
        <v>0.666726298757507</v>
      </c>
      <c r="AG445" s="11">
        <v>0.53386232138745815</v>
      </c>
      <c r="AH445" s="11">
        <v>0</v>
      </c>
      <c r="AI445" s="11">
        <v>1.9594116003233182</v>
      </c>
      <c r="AJ445" s="11">
        <v>1.3484212907510793</v>
      </c>
      <c r="AK445" s="6"/>
      <c r="AL445" t="s">
        <v>1077</v>
      </c>
      <c r="AM445">
        <v>711</v>
      </c>
      <c r="AN445" s="6"/>
      <c r="AO445" s="20">
        <v>4.9791999999999996</v>
      </c>
      <c r="AP445" s="20">
        <v>7.3651999999999997</v>
      </c>
      <c r="AQ445" s="20">
        <v>4.7404999999999999</v>
      </c>
      <c r="AR445" s="20">
        <v>4.5477999999999996</v>
      </c>
      <c r="AS445" s="20">
        <v>6.6254999999999997</v>
      </c>
      <c r="AT445" s="20">
        <v>6.9672000000000001</v>
      </c>
      <c r="AU445" s="20">
        <v>3.9571999999999998</v>
      </c>
      <c r="AV445" s="20">
        <v>2.6804999999999999</v>
      </c>
      <c r="AW445" s="6"/>
      <c r="AX445" s="18">
        <v>5.191E-10</v>
      </c>
      <c r="AY445" s="18">
        <v>2.5079999999999998E-12</v>
      </c>
      <c r="AZ445" s="18">
        <v>3.4979999999999998E-6</v>
      </c>
      <c r="BA445" s="18">
        <v>2.0839999999999999E-6</v>
      </c>
      <c r="BB445" s="18">
        <v>1.259E-12</v>
      </c>
      <c r="BC445" s="18">
        <v>3.453E-9</v>
      </c>
      <c r="BD445" s="18">
        <v>6.053E-8</v>
      </c>
      <c r="BE445" s="18">
        <v>1.361E-3</v>
      </c>
      <c r="BF445" s="13"/>
      <c r="BG445" t="s">
        <v>1125</v>
      </c>
      <c r="BH445" t="s">
        <v>1126</v>
      </c>
      <c r="BI445" t="s">
        <v>1113</v>
      </c>
      <c r="BJ445" t="s">
        <v>1114</v>
      </c>
      <c r="BK445" t="s">
        <v>1115</v>
      </c>
      <c r="BL445" t="s">
        <v>1116</v>
      </c>
      <c r="BM445" t="s">
        <v>1117</v>
      </c>
      <c r="BN445" s="13"/>
      <c r="BO445" t="s">
        <v>973</v>
      </c>
      <c r="BP445">
        <v>1</v>
      </c>
      <c r="BQ445" t="s">
        <v>973</v>
      </c>
      <c r="BR445" t="s">
        <v>973</v>
      </c>
    </row>
    <row r="446" spans="1:70" x14ac:dyDescent="0.25">
      <c r="A446" t="s">
        <v>941</v>
      </c>
      <c r="B446" t="s">
        <v>851</v>
      </c>
      <c r="C446" t="s">
        <v>209</v>
      </c>
      <c r="D446" s="6"/>
      <c r="E446" s="9" t="str">
        <f>HYPERLINK("http://plants.ensembl.org/Triticum_aestivum/Gene/Summary?g=TRIAE_CS42_7DS_TGACv1_621664_AA2022600","TRIAE_CS42_7DS_TGACv1_621664_AA2022600")</f>
        <v>TRIAE_CS42_7DS_TGACv1_621664_AA2022600</v>
      </c>
      <c r="F446" s="9" t="str">
        <f>HYPERLINK("http://mar2016-plants.ensembl.org/Triticum_aestivum/Gene/Summary?db=core;g=Traes_7DS_0B70FFE9A","Traes_7DS_0B70FFE9A")</f>
        <v>Traes_7DS_0B70FFE9A</v>
      </c>
      <c r="H446" s="1" t="s">
        <v>1051</v>
      </c>
      <c r="I446" s="1" t="s">
        <v>1051</v>
      </c>
      <c r="J446" s="1" t="s">
        <v>1051</v>
      </c>
      <c r="L446" s="6"/>
      <c r="M446" s="1" t="s">
        <v>973</v>
      </c>
      <c r="N446" s="1">
        <v>1</v>
      </c>
      <c r="O446" s="1" t="s">
        <v>973</v>
      </c>
      <c r="P446" s="1" t="s">
        <v>973</v>
      </c>
      <c r="Q446" s="1" t="s">
        <v>973</v>
      </c>
      <c r="R446" s="1" t="s">
        <v>973</v>
      </c>
      <c r="S446" s="1"/>
      <c r="T446" s="6"/>
      <c r="U446" s="11">
        <v>5.3062695319407238</v>
      </c>
      <c r="V446" s="11">
        <v>6.9542692189391175</v>
      </c>
      <c r="W446" s="11">
        <v>4.1841956453623483</v>
      </c>
      <c r="X446" s="11">
        <v>4.4709706278862553</v>
      </c>
      <c r="Y446" s="11">
        <v>5.4755129573505004</v>
      </c>
      <c r="Z446" s="11">
        <v>5.0389994415253403</v>
      </c>
      <c r="AA446" s="11">
        <v>4.7192382114633986</v>
      </c>
      <c r="AB446" s="11">
        <v>3.800934403424979</v>
      </c>
      <c r="AC446" s="11">
        <v>1.3228319006167593</v>
      </c>
      <c r="AD446" s="11">
        <v>0.39407506562573752</v>
      </c>
      <c r="AE446" s="11">
        <v>0.68876224387882412</v>
      </c>
      <c r="AF446" s="11">
        <v>0</v>
      </c>
      <c r="AG446" s="11">
        <v>0.55781034074968749</v>
      </c>
      <c r="AH446" s="11">
        <v>0.40355859560642487</v>
      </c>
      <c r="AI446" s="11">
        <v>1.9346423033860281</v>
      </c>
      <c r="AJ446" s="11">
        <v>0.83546600311514363</v>
      </c>
      <c r="AK446" s="6"/>
      <c r="AL446" t="s">
        <v>1077</v>
      </c>
      <c r="AM446">
        <v>856</v>
      </c>
      <c r="AN446" s="6"/>
      <c r="AO446" s="20">
        <v>4.5148999999999999</v>
      </c>
      <c r="AP446" s="20">
        <v>6.9215999999999998</v>
      </c>
      <c r="AQ446" s="20">
        <v>4.5242000000000004</v>
      </c>
      <c r="AR446" s="20">
        <v>6.2582000000000004</v>
      </c>
      <c r="AS446" s="20">
        <v>6.0319000000000003</v>
      </c>
      <c r="AT446" s="20">
        <v>5.9428999999999998</v>
      </c>
      <c r="AU446" s="20">
        <v>3.0384000000000002</v>
      </c>
      <c r="AV446" s="20">
        <v>3.7583000000000002</v>
      </c>
      <c r="AW446" s="6"/>
      <c r="AX446" s="18">
        <v>9.2939999999999994E-6</v>
      </c>
      <c r="AY446" s="18">
        <v>3.9060000000000004E-9</v>
      </c>
      <c r="AZ446" s="18">
        <v>7.1899999999999999E-5</v>
      </c>
      <c r="BA446" s="18">
        <v>1.144E-6</v>
      </c>
      <c r="BB446" s="18">
        <v>2.1349999999999999E-8</v>
      </c>
      <c r="BC446" s="18">
        <v>2.3439999999999999E-6</v>
      </c>
      <c r="BD446" s="18">
        <v>9.9350000000000003E-4</v>
      </c>
      <c r="BE446" s="18">
        <v>5.4319999999999998E-4</v>
      </c>
      <c r="BF446" s="13"/>
      <c r="BG446" t="s">
        <v>1125</v>
      </c>
      <c r="BH446" t="s">
        <v>1175</v>
      </c>
      <c r="BI446" t="s">
        <v>1113</v>
      </c>
      <c r="BJ446" t="s">
        <v>1114</v>
      </c>
      <c r="BK446" t="s">
        <v>1115</v>
      </c>
      <c r="BL446" t="s">
        <v>1116</v>
      </c>
      <c r="BM446" t="s">
        <v>1117</v>
      </c>
      <c r="BN446" s="13"/>
      <c r="BO446" t="s">
        <v>973</v>
      </c>
      <c r="BP446" t="s">
        <v>973</v>
      </c>
      <c r="BQ446" t="s">
        <v>973</v>
      </c>
      <c r="BR446" t="s">
        <v>973</v>
      </c>
    </row>
    <row r="447" spans="1:70" x14ac:dyDescent="0.25">
      <c r="A447" t="s">
        <v>138</v>
      </c>
      <c r="B447" t="s">
        <v>139</v>
      </c>
      <c r="C447" t="s">
        <v>140</v>
      </c>
      <c r="D447" s="6"/>
      <c r="E447" s="9" t="str">
        <f>HYPERLINK("http://plants.ensembl.org/Triticum_aestivum/Gene/Summary?g=TRIAE_CS42_2AS_TGACv1_113145_AA0352060","TRIAE_CS42_2AS_TGACv1_113145_AA0352060")</f>
        <v>TRIAE_CS42_2AS_TGACv1_113145_AA0352060</v>
      </c>
      <c r="F447" s="9" t="str">
        <f>HYPERLINK("http://mar2016-plants.ensembl.org/Triticum_aestivum/Gene/Summary?db=core;g=Traes_2AS_A8CCC32D3","Traes_2AS_A8CCC32D3")</f>
        <v>Traes_2AS_A8CCC32D3</v>
      </c>
      <c r="H447" s="8" t="str">
        <f>HYPERLINK("http://plants.ensembl.org/Brachypodium_distachyon/Gene/Summary?g=Bradi1g21490","Bradi1g21490")</f>
        <v>Bradi1g21490</v>
      </c>
      <c r="I447" s="8" t="str">
        <f>HYPERLINK("http://plants.ensembl.org/Arabidopsis_thaliana/Gene/Summary?g=AT1G19180","AT1G19180")</f>
        <v>AT1G19180</v>
      </c>
      <c r="J447" s="9" t="str">
        <f>HYPERLINK("http://plants.ensembl.org/Oryza_sativa/Gene/Summary?db=otherfeatures;g=LOC_Os07g42370","LOC_Os07g42370")</f>
        <v>LOC_Os07g42370</v>
      </c>
      <c r="L447" s="6"/>
      <c r="M447" s="1" t="s">
        <v>973</v>
      </c>
      <c r="N447" s="1">
        <v>1</v>
      </c>
      <c r="O447" s="1" t="s">
        <v>973</v>
      </c>
      <c r="P447" s="1" t="s">
        <v>973</v>
      </c>
      <c r="Q447" s="1" t="s">
        <v>973</v>
      </c>
      <c r="R447" s="1" t="s">
        <v>973</v>
      </c>
      <c r="S447" s="1"/>
      <c r="T447" s="6"/>
      <c r="U447" s="11">
        <v>10.161226799535628</v>
      </c>
      <c r="V447" s="11">
        <v>10.735067681371161</v>
      </c>
      <c r="W447" s="11">
        <v>9.2030610669858426</v>
      </c>
      <c r="X447" s="11">
        <v>9.2728969950905782</v>
      </c>
      <c r="Y447" s="11">
        <v>9.8593792236867426</v>
      </c>
      <c r="Z447" s="11">
        <v>9.4595920685523609</v>
      </c>
      <c r="AA447" s="11">
        <v>9.3946919784394431</v>
      </c>
      <c r="AB447" s="11">
        <v>8.9513596165832823</v>
      </c>
      <c r="AC447" s="11">
        <v>8.0469820901299851</v>
      </c>
      <c r="AD447" s="11">
        <v>7.7529537077965864</v>
      </c>
      <c r="AE447" s="11">
        <v>7.7115348280025016</v>
      </c>
      <c r="AF447" s="11">
        <v>7.57321469282049</v>
      </c>
      <c r="AG447" s="11">
        <v>7.937597257541432</v>
      </c>
      <c r="AH447" s="11">
        <v>7.6895134985275879</v>
      </c>
      <c r="AI447" s="11">
        <v>8.1220592152542199</v>
      </c>
      <c r="AJ447" s="11">
        <v>7.6570616299843515</v>
      </c>
      <c r="AK447" s="6"/>
      <c r="AL447" t="s">
        <v>1077</v>
      </c>
      <c r="AM447">
        <v>2305</v>
      </c>
      <c r="AN447" s="6"/>
      <c r="AO447" s="20">
        <v>2.12</v>
      </c>
      <c r="AP447" s="20">
        <v>2.9514999999999998</v>
      </c>
      <c r="AQ447" s="20">
        <v>1.4876</v>
      </c>
      <c r="AR447" s="20">
        <v>1.6908000000000001</v>
      </c>
      <c r="AS447" s="20">
        <v>1.9158999999999999</v>
      </c>
      <c r="AT447" s="20">
        <v>1.766</v>
      </c>
      <c r="AU447" s="20">
        <v>1.2697000000000001</v>
      </c>
      <c r="AV447" s="20">
        <v>1.2918000000000001</v>
      </c>
      <c r="AW447" s="6"/>
      <c r="AX447" s="18">
        <v>4.7020000000000003E-11</v>
      </c>
      <c r="AY447" s="18">
        <v>7.8199999999999996E-19</v>
      </c>
      <c r="AZ447" s="18">
        <v>3.7239999999999998E-6</v>
      </c>
      <c r="BA447" s="18">
        <v>1.603E-7</v>
      </c>
      <c r="BB447" s="18">
        <v>2.0249999999999999E-9</v>
      </c>
      <c r="BC447" s="18">
        <v>4.1369999999999999E-8</v>
      </c>
      <c r="BD447" s="18">
        <v>7.292E-5</v>
      </c>
      <c r="BE447" s="18">
        <v>6.0900000000000003E-5</v>
      </c>
      <c r="BF447" s="13"/>
      <c r="BG447" t="s">
        <v>1131</v>
      </c>
      <c r="BH447" t="s">
        <v>1126</v>
      </c>
      <c r="BI447" t="s">
        <v>1113</v>
      </c>
      <c r="BJ447" t="s">
        <v>1114</v>
      </c>
      <c r="BK447" t="s">
        <v>1115</v>
      </c>
      <c r="BL447" t="s">
        <v>1116</v>
      </c>
      <c r="BM447" t="s">
        <v>1117</v>
      </c>
      <c r="BN447" s="13"/>
      <c r="BO447" t="s">
        <v>973</v>
      </c>
      <c r="BP447" t="s">
        <v>973</v>
      </c>
      <c r="BQ447" t="s">
        <v>973</v>
      </c>
      <c r="BR447" t="s">
        <v>973</v>
      </c>
    </row>
    <row r="448" spans="1:70" x14ac:dyDescent="0.25">
      <c r="A448" t="s">
        <v>199</v>
      </c>
      <c r="B448" t="s">
        <v>139</v>
      </c>
      <c r="C448" t="s">
        <v>140</v>
      </c>
      <c r="D448" s="6"/>
      <c r="E448" s="9" t="str">
        <f>HYPERLINK("http://plants.ensembl.org/Triticum_aestivum/Gene/Summary?g=TRIAE_CS42_2BS_TGACv1_145930_AA0449790","TRIAE_CS42_2BS_TGACv1_145930_AA0449790")</f>
        <v>TRIAE_CS42_2BS_TGACv1_145930_AA0449790</v>
      </c>
      <c r="F448" s="9" t="str">
        <f>HYPERLINK("http://mar2016-plants.ensembl.org/Triticum_aestivum/Gene/Summary?db=core;g=Traes_2BS_2C79AE2DE","Traes_2BS_2C79AE2DE")</f>
        <v>Traes_2BS_2C79AE2DE</v>
      </c>
      <c r="H448" s="8" t="str">
        <f>HYPERLINK("http://plants.ensembl.org/Brachypodium_distachyon/Gene/Summary?g=Bradi1g21490","Bradi1g21490")</f>
        <v>Bradi1g21490</v>
      </c>
      <c r="I448" s="8" t="str">
        <f>HYPERLINK("http://plants.ensembl.org/Arabidopsis_thaliana/Gene/Summary?g=AT1G19180","AT1G19180")</f>
        <v>AT1G19180</v>
      </c>
      <c r="J448" s="9" t="str">
        <f>HYPERLINK("http://plants.ensembl.org/Oryza_sativa/Gene/Summary?db=otherfeatures;g=LOC_Os07g42370","LOC_Os07g42370")</f>
        <v>LOC_Os07g42370</v>
      </c>
      <c r="L448" s="6"/>
      <c r="M448" s="1" t="s">
        <v>973</v>
      </c>
      <c r="N448" s="1">
        <v>1</v>
      </c>
      <c r="O448" s="1" t="s">
        <v>973</v>
      </c>
      <c r="P448" s="1" t="s">
        <v>973</v>
      </c>
      <c r="Q448" s="1" t="s">
        <v>973</v>
      </c>
      <c r="R448" s="1" t="s">
        <v>973</v>
      </c>
      <c r="S448" s="1"/>
      <c r="T448" s="6"/>
      <c r="U448" s="11">
        <v>10.928778293560903</v>
      </c>
      <c r="V448" s="11">
        <v>10.848497468490278</v>
      </c>
      <c r="W448" s="11">
        <v>10.018371984241167</v>
      </c>
      <c r="X448" s="11">
        <v>9.9757957224936042</v>
      </c>
      <c r="Y448" s="11">
        <v>10.474000142999049</v>
      </c>
      <c r="Z448" s="11">
        <v>9.8669649889330557</v>
      </c>
      <c r="AA448" s="11">
        <v>10.103436267208391</v>
      </c>
      <c r="AB448" s="11">
        <v>9.6799210510832516</v>
      </c>
      <c r="AC448" s="11">
        <v>8.7350494827551941</v>
      </c>
      <c r="AD448" s="11">
        <v>8.5513533592044535</v>
      </c>
      <c r="AE448" s="11">
        <v>8.5170323360221474</v>
      </c>
      <c r="AF448" s="11">
        <v>8.3252721703930135</v>
      </c>
      <c r="AG448" s="11">
        <v>8.3151131735708255</v>
      </c>
      <c r="AH448" s="11">
        <v>8.0518359214817874</v>
      </c>
      <c r="AI448" s="11">
        <v>8.7807859095611782</v>
      </c>
      <c r="AJ448" s="11">
        <v>8.4670742905457086</v>
      </c>
      <c r="AK448" s="6"/>
      <c r="AL448" t="s">
        <v>1077</v>
      </c>
      <c r="AM448">
        <v>1016</v>
      </c>
      <c r="AN448" s="6"/>
      <c r="AO448" s="20">
        <v>2.1955</v>
      </c>
      <c r="AP448" s="20">
        <v>2.3109999999999999</v>
      </c>
      <c r="AQ448" s="20">
        <v>1.4984999999999999</v>
      </c>
      <c r="AR448" s="20">
        <v>1.6425000000000001</v>
      </c>
      <c r="AS448" s="20">
        <v>2.1535000000000002</v>
      </c>
      <c r="AT448" s="20">
        <v>1.8118000000000001</v>
      </c>
      <c r="AU448" s="20">
        <v>1.3204</v>
      </c>
      <c r="AV448" s="20">
        <v>1.2103999999999999</v>
      </c>
      <c r="AW448" s="6"/>
      <c r="AX448" s="18">
        <v>1.215E-15</v>
      </c>
      <c r="AY448" s="18">
        <v>3.3949999999999999E-16</v>
      </c>
      <c r="AZ448" s="18">
        <v>4.3520000000000002E-8</v>
      </c>
      <c r="BA448" s="18">
        <v>2.21E-9</v>
      </c>
      <c r="BB448" s="18">
        <v>3.032E-15</v>
      </c>
      <c r="BC448" s="18">
        <v>4.6760000000000002E-11</v>
      </c>
      <c r="BD448" s="18">
        <v>1.314E-6</v>
      </c>
      <c r="BE448" s="18">
        <v>1.01E-5</v>
      </c>
      <c r="BF448" s="13"/>
      <c r="BG448" t="s">
        <v>1131</v>
      </c>
      <c r="BH448" t="s">
        <v>1155</v>
      </c>
      <c r="BI448" t="s">
        <v>1113</v>
      </c>
      <c r="BJ448" t="s">
        <v>1114</v>
      </c>
      <c r="BK448" t="s">
        <v>1115</v>
      </c>
      <c r="BL448" t="s">
        <v>1116</v>
      </c>
      <c r="BM448" t="s">
        <v>1117</v>
      </c>
      <c r="BN448" s="13"/>
      <c r="BO448" t="s">
        <v>973</v>
      </c>
      <c r="BP448" t="s">
        <v>973</v>
      </c>
      <c r="BQ448" t="s">
        <v>973</v>
      </c>
      <c r="BR448" t="s">
        <v>973</v>
      </c>
    </row>
    <row r="449" spans="1:70" x14ac:dyDescent="0.25">
      <c r="A449" t="s">
        <v>103</v>
      </c>
      <c r="B449" t="s">
        <v>104</v>
      </c>
      <c r="C449" t="s">
        <v>3</v>
      </c>
      <c r="D449" s="6"/>
      <c r="E449" s="9" t="str">
        <f>HYPERLINK("http://plants.ensembl.org/Triticum_aestivum/Gene/Summary?g=TRIAE_CS42_1DL_TGACv1_063639_AA0229420","TRIAE_CS42_1DL_TGACv1_063639_AA0229420")</f>
        <v>TRIAE_CS42_1DL_TGACv1_063639_AA0229420</v>
      </c>
      <c r="F449" s="9" t="str">
        <f>HYPERLINK("http://mar2016-plants.ensembl.org/Triticum_aestivum/Gene/Summary?db=core;g=Traes_1DL_4C7DD8BC9","Traes_1DL_4C7DD8BC9")</f>
        <v>Traes_1DL_4C7DD8BC9</v>
      </c>
      <c r="H449" s="8" t="str">
        <f>HYPERLINK("http://plants.ensembl.org/Brachypodium_distachyon/Gene/Summary?g=Bradi3g27120","Bradi3g27120")</f>
        <v>Bradi3g27120</v>
      </c>
      <c r="I449" s="1" t="s">
        <v>1051</v>
      </c>
      <c r="J449" s="9" t="str">
        <f>HYPERLINK("http://plants.ensembl.org/Oryza_sativa/Gene/Summary?db=otherfeatures;g=LOC_Os10g29540","LOC_Os10g29540")</f>
        <v>LOC_Os10g29540</v>
      </c>
      <c r="L449" s="6"/>
      <c r="M449" s="1" t="s">
        <v>973</v>
      </c>
      <c r="N449" s="1" t="s">
        <v>973</v>
      </c>
      <c r="O449" s="1">
        <v>1</v>
      </c>
      <c r="P449" s="1" t="s">
        <v>973</v>
      </c>
      <c r="Q449" s="1" t="s">
        <v>973</v>
      </c>
      <c r="R449" s="1" t="s">
        <v>973</v>
      </c>
      <c r="S449" s="1"/>
      <c r="T449" s="6"/>
      <c r="U449" s="11">
        <v>7.8694803354565508</v>
      </c>
      <c r="V449" s="11">
        <v>8.5976712059801574</v>
      </c>
      <c r="W449" s="11">
        <v>7.6637260234358013</v>
      </c>
      <c r="X449" s="11">
        <v>8.0896579212021749</v>
      </c>
      <c r="Y449" s="11">
        <v>7.5205492776278851</v>
      </c>
      <c r="Z449" s="11">
        <v>7.8429446909529368</v>
      </c>
      <c r="AA449" s="11">
        <v>6.8759557211334998</v>
      </c>
      <c r="AB449" s="11">
        <v>7.9033612973412914</v>
      </c>
      <c r="AC449" s="11">
        <v>7.4438792857940426</v>
      </c>
      <c r="AD449" s="11">
        <v>7.8393770270997214</v>
      </c>
      <c r="AE449" s="11">
        <v>7.4181207805993923</v>
      </c>
      <c r="AF449" s="11">
        <v>7.6635151725793396</v>
      </c>
      <c r="AG449" s="11">
        <v>7.3759001563973827</v>
      </c>
      <c r="AH449" s="11">
        <v>7.9202952854240865</v>
      </c>
      <c r="AI449" s="11">
        <v>7.5016349944365457</v>
      </c>
      <c r="AJ449" s="11">
        <v>7.7027420305459238</v>
      </c>
      <c r="AK449" s="6"/>
      <c r="AL449" t="s">
        <v>1078</v>
      </c>
      <c r="AM449">
        <v>0</v>
      </c>
      <c r="AN449" s="6"/>
      <c r="AO449" s="20">
        <v>0.42299999999999999</v>
      </c>
      <c r="AP449" s="20">
        <v>0.82010000000000005</v>
      </c>
      <c r="AQ449" s="20">
        <v>0.24460000000000001</v>
      </c>
      <c r="AR449" s="20">
        <v>0.43619999999999998</v>
      </c>
      <c r="AS449" s="20">
        <v>0.14630000000000001</v>
      </c>
      <c r="AT449" s="20">
        <v>-8.3099999999999993E-2</v>
      </c>
      <c r="AU449" s="20">
        <v>-0.62729999999999997</v>
      </c>
      <c r="AV449" s="20">
        <v>0.2021</v>
      </c>
      <c r="AW449" s="6"/>
      <c r="AX449" s="18">
        <v>3.2309999999999998E-2</v>
      </c>
      <c r="AY449" s="18">
        <v>8.0420000000000006E-5</v>
      </c>
      <c r="AZ449" s="18">
        <v>0.19</v>
      </c>
      <c r="BA449" s="18">
        <v>1.8489999999999999E-2</v>
      </c>
      <c r="BB449" s="18">
        <v>0.43240000000000001</v>
      </c>
      <c r="BC449" s="18">
        <v>0.65190000000000003</v>
      </c>
      <c r="BD449" s="18">
        <v>9.1219999999999995E-4</v>
      </c>
      <c r="BE449" s="18">
        <v>0.27529999999999999</v>
      </c>
      <c r="BF449" s="13"/>
      <c r="BG449" t="s">
        <v>1111</v>
      </c>
      <c r="BH449" t="s">
        <v>1112</v>
      </c>
      <c r="BI449" t="s">
        <v>1113</v>
      </c>
      <c r="BJ449" t="s">
        <v>1133</v>
      </c>
      <c r="BK449" t="s">
        <v>1115</v>
      </c>
      <c r="BL449" t="s">
        <v>1116</v>
      </c>
      <c r="BM449" t="s">
        <v>1117</v>
      </c>
      <c r="BN449" s="13"/>
      <c r="BO449" t="s">
        <v>973</v>
      </c>
      <c r="BP449" t="s">
        <v>973</v>
      </c>
      <c r="BQ449" t="s">
        <v>973</v>
      </c>
      <c r="BR449" t="s">
        <v>973</v>
      </c>
    </row>
    <row r="450" spans="1:70" x14ac:dyDescent="0.25">
      <c r="A450" t="s">
        <v>459</v>
      </c>
      <c r="B450" t="s">
        <v>104</v>
      </c>
      <c r="C450" t="s">
        <v>3</v>
      </c>
      <c r="D450" s="6"/>
      <c r="E450" s="9" t="str">
        <f>HYPERLINK("http://plants.ensembl.org/Triticum_aestivum/Gene/Summary?g=TRIAE_CS42_4AS_TGACv1_306403_AA1007660","TRIAE_CS42_4AS_TGACv1_306403_AA1007660")</f>
        <v>TRIAE_CS42_4AS_TGACv1_306403_AA1007660</v>
      </c>
      <c r="F450" s="9" t="str">
        <f>HYPERLINK("http://mar2016-plants.ensembl.org/Triticum_aestivum/Gene/Summary?db=core;g=Traes_4AS_13C54AC29","Traes_4AS_13C54AC29")</f>
        <v>Traes_4AS_13C54AC29</v>
      </c>
      <c r="H450" s="8" t="str">
        <f>HYPERLINK("http://plants.ensembl.org/Brachypodium_distachyon/Gene/Summary?g=Bradi1g74480","Bradi1g74480")</f>
        <v>Bradi1g74480</v>
      </c>
      <c r="I450" s="8" t="str">
        <f>HYPERLINK("http://plants.ensembl.org/Arabidopsis_thaliana/Gene/Summary?g=AT1G08720","AT1G08720")</f>
        <v>AT1G08720</v>
      </c>
      <c r="J450" s="9" t="str">
        <f>HYPERLINK("http://plants.ensembl.org/Oryza_sativa/Gene/Summary?db=otherfeatures;g=LOC_Os03g06410","LOC_Os03g06410")</f>
        <v>LOC_Os03g06410</v>
      </c>
      <c r="L450" s="6"/>
      <c r="M450" s="1" t="s">
        <v>973</v>
      </c>
      <c r="N450" s="1" t="s">
        <v>973</v>
      </c>
      <c r="O450" s="1">
        <v>1</v>
      </c>
      <c r="P450" s="1" t="s">
        <v>973</v>
      </c>
      <c r="Q450" s="1" t="s">
        <v>973</v>
      </c>
      <c r="R450" s="1" t="s">
        <v>973</v>
      </c>
      <c r="S450" s="1"/>
      <c r="T450" s="6"/>
      <c r="U450" s="11">
        <v>8.9692709092271379</v>
      </c>
      <c r="V450" s="11">
        <v>9.4304933925992334</v>
      </c>
      <c r="W450" s="11">
        <v>8.6105958607774742</v>
      </c>
      <c r="X450" s="11">
        <v>8.7643214929365776</v>
      </c>
      <c r="Y450" s="11">
        <v>8.6676615423432324</v>
      </c>
      <c r="Z450" s="11">
        <v>8.6371572560807088</v>
      </c>
      <c r="AA450" s="11">
        <v>8.3487544116319352</v>
      </c>
      <c r="AB450" s="11">
        <v>8.6883570937594978</v>
      </c>
      <c r="AC450" s="11">
        <v>8.5124406354730535</v>
      </c>
      <c r="AD450" s="11">
        <v>7.8864036187085915</v>
      </c>
      <c r="AE450" s="11">
        <v>8.2797704331753206</v>
      </c>
      <c r="AF450" s="11">
        <v>8.31653346276447</v>
      </c>
      <c r="AG450" s="11">
        <v>8.1023473894228477</v>
      </c>
      <c r="AH450" s="11">
        <v>7.9029984893703196</v>
      </c>
      <c r="AI450" s="11">
        <v>8.6352120455127306</v>
      </c>
      <c r="AJ450" s="11">
        <v>8.3972992766509691</v>
      </c>
      <c r="AK450" s="6"/>
      <c r="AL450" t="s">
        <v>1077</v>
      </c>
      <c r="AM450">
        <v>0</v>
      </c>
      <c r="AN450" s="6"/>
      <c r="AO450" s="20">
        <v>0.46660000000000001</v>
      </c>
      <c r="AP450" s="20">
        <v>1.5125999999999999</v>
      </c>
      <c r="AQ450" s="20">
        <v>0.32850000000000001</v>
      </c>
      <c r="AR450" s="20">
        <v>0.4546</v>
      </c>
      <c r="AS450" s="20">
        <v>0.56730000000000003</v>
      </c>
      <c r="AT450" s="20">
        <v>0.73270000000000002</v>
      </c>
      <c r="AU450" s="20">
        <v>-0.28789999999999999</v>
      </c>
      <c r="AV450" s="20">
        <v>0.2913</v>
      </c>
      <c r="AW450" s="6"/>
      <c r="AX450" s="18">
        <v>2.9260000000000002E-3</v>
      </c>
      <c r="AY450" s="18">
        <v>3.6380000000000002E-18</v>
      </c>
      <c r="AZ450" s="18">
        <v>3.007E-2</v>
      </c>
      <c r="BA450" s="18">
        <v>2.807E-3</v>
      </c>
      <c r="BB450" s="18">
        <v>1.6860000000000001E-4</v>
      </c>
      <c r="BC450" s="18">
        <v>2.04E-6</v>
      </c>
      <c r="BD450" s="18">
        <v>5.5199999999999999E-2</v>
      </c>
      <c r="BE450" s="18">
        <v>5.4710000000000002E-2</v>
      </c>
      <c r="BF450" s="13"/>
      <c r="BG450" t="s">
        <v>1125</v>
      </c>
      <c r="BH450" t="s">
        <v>1112</v>
      </c>
      <c r="BI450" t="s">
        <v>1113</v>
      </c>
      <c r="BJ450" t="s">
        <v>1114</v>
      </c>
      <c r="BK450" t="s">
        <v>1115</v>
      </c>
      <c r="BL450" t="s">
        <v>1116</v>
      </c>
      <c r="BM450" t="s">
        <v>1117</v>
      </c>
      <c r="BN450" s="13"/>
      <c r="BO450" t="s">
        <v>973</v>
      </c>
      <c r="BP450" t="s">
        <v>973</v>
      </c>
      <c r="BQ450" t="s">
        <v>973</v>
      </c>
      <c r="BR450" t="s">
        <v>973</v>
      </c>
    </row>
    <row r="451" spans="1:70" x14ac:dyDescent="0.25">
      <c r="A451" t="s">
        <v>546</v>
      </c>
      <c r="B451" t="s">
        <v>104</v>
      </c>
      <c r="C451" t="s">
        <v>3</v>
      </c>
      <c r="D451" s="6"/>
      <c r="E451" s="9" t="str">
        <f>HYPERLINK("http://plants.ensembl.org/Triticum_aestivum/Gene/Summary?g=TRIAE_CS42_4BL_TGACv1_321560_AA1062290","TRIAE_CS42_4BL_TGACv1_321560_AA1062290")</f>
        <v>TRIAE_CS42_4BL_TGACv1_321560_AA1062290</v>
      </c>
      <c r="F451" s="9" t="str">
        <f>HYPERLINK("http://mar2016-plants.ensembl.org/Triticum_aestivum/Gene/Summary?db=core;g=Traes_4BL_00FFE767A","Traes_4BL_00FFE767A")</f>
        <v>Traes_4BL_00FFE767A</v>
      </c>
      <c r="H451" s="8" t="str">
        <f>HYPERLINK("http://plants.ensembl.org/Brachypodium_distachyon/Gene/Summary?g=Bradi1g74480","Bradi1g74480")</f>
        <v>Bradi1g74480</v>
      </c>
      <c r="I451" s="8" t="str">
        <f>HYPERLINK("http://plants.ensembl.org/Arabidopsis_thaliana/Gene/Summary?g=AT1G08720","AT1G08720")</f>
        <v>AT1G08720</v>
      </c>
      <c r="J451" s="9" t="str">
        <f>HYPERLINK("http://plants.ensembl.org/Oryza_sativa/Gene/Summary?db=otherfeatures;g=LOC_Os03g06410","LOC_Os03g06410")</f>
        <v>LOC_Os03g06410</v>
      </c>
      <c r="L451" s="6"/>
      <c r="M451" s="1" t="s">
        <v>973</v>
      </c>
      <c r="N451" s="1" t="s">
        <v>973</v>
      </c>
      <c r="O451" s="1">
        <v>1</v>
      </c>
      <c r="P451" s="1" t="s">
        <v>973</v>
      </c>
      <c r="Q451" s="1" t="s">
        <v>973</v>
      </c>
      <c r="R451" s="1" t="s">
        <v>973</v>
      </c>
      <c r="S451" s="1"/>
      <c r="T451" s="6"/>
      <c r="U451" s="11">
        <v>8.1811607067342571</v>
      </c>
      <c r="V451" s="11">
        <v>8.4325650055941495</v>
      </c>
      <c r="W451" s="11">
        <v>8.0851370970695893</v>
      </c>
      <c r="X451" s="11">
        <v>8.2463737233817493</v>
      </c>
      <c r="Y451" s="11">
        <v>8.0207809008349944</v>
      </c>
      <c r="Z451" s="11">
        <v>7.7776978382055475</v>
      </c>
      <c r="AA451" s="11">
        <v>7.7577822313003182</v>
      </c>
      <c r="AB451" s="11">
        <v>8.1079638225045976</v>
      </c>
      <c r="AC451" s="11">
        <v>7.9113512382491615</v>
      </c>
      <c r="AD451" s="11">
        <v>7.3325838255033284</v>
      </c>
      <c r="AE451" s="11">
        <v>7.9340297025327278</v>
      </c>
      <c r="AF451" s="11">
        <v>7.9096711136117639</v>
      </c>
      <c r="AG451" s="11">
        <v>7.3205331160395373</v>
      </c>
      <c r="AH451" s="11">
        <v>7.0910883572578252</v>
      </c>
      <c r="AI451" s="11">
        <v>8.174557057611981</v>
      </c>
      <c r="AJ451" s="11">
        <v>7.9974790937258247</v>
      </c>
      <c r="AK451" s="6"/>
      <c r="AL451" t="s">
        <v>1077</v>
      </c>
      <c r="AM451">
        <v>0</v>
      </c>
      <c r="AN451" s="6"/>
      <c r="AO451" s="20">
        <v>0.28139999999999998</v>
      </c>
      <c r="AP451" s="20">
        <v>1.2854000000000001</v>
      </c>
      <c r="AQ451" s="20">
        <v>0.15090000000000001</v>
      </c>
      <c r="AR451" s="20">
        <v>0.34910000000000002</v>
      </c>
      <c r="AS451" s="20">
        <v>0.69869999999999999</v>
      </c>
      <c r="AT451" s="20">
        <v>0.68259999999999998</v>
      </c>
      <c r="AU451" s="20">
        <v>-0.41649999999999998</v>
      </c>
      <c r="AV451" s="20">
        <v>0.1108</v>
      </c>
      <c r="AW451" s="6"/>
      <c r="AX451" s="18">
        <v>0.16750000000000001</v>
      </c>
      <c r="AY451" s="18">
        <v>1.9560000000000001E-8</v>
      </c>
      <c r="AZ451" s="18">
        <v>0.438</v>
      </c>
      <c r="BA451" s="18">
        <v>7.4279999999999999E-2</v>
      </c>
      <c r="BB451" s="18">
        <v>3.6739999999999999E-4</v>
      </c>
      <c r="BC451" s="18">
        <v>7.2230000000000005E-4</v>
      </c>
      <c r="BD451" s="18">
        <v>3.1710000000000002E-2</v>
      </c>
      <c r="BE451" s="18">
        <v>0.57050000000000001</v>
      </c>
      <c r="BF451" s="13"/>
      <c r="BG451" t="s">
        <v>1125</v>
      </c>
      <c r="BH451" t="s">
        <v>1112</v>
      </c>
      <c r="BI451" t="s">
        <v>1113</v>
      </c>
      <c r="BJ451" t="s">
        <v>1114</v>
      </c>
      <c r="BK451" t="s">
        <v>1115</v>
      </c>
      <c r="BL451" t="s">
        <v>1116</v>
      </c>
      <c r="BM451" t="s">
        <v>1117</v>
      </c>
      <c r="BN451" s="13"/>
      <c r="BO451" t="s">
        <v>973</v>
      </c>
      <c r="BP451" t="s">
        <v>973</v>
      </c>
      <c r="BQ451" t="s">
        <v>973</v>
      </c>
      <c r="BR451" t="s">
        <v>973</v>
      </c>
    </row>
    <row r="452" spans="1:70" x14ac:dyDescent="0.25">
      <c r="A452" t="s">
        <v>772</v>
      </c>
      <c r="B452" t="s">
        <v>104</v>
      </c>
      <c r="C452" t="s">
        <v>3</v>
      </c>
      <c r="D452" s="6"/>
      <c r="E452" s="9" t="str">
        <f>HYPERLINK("http://plants.ensembl.org/Triticum_aestivum/Gene/Summary?g=TRIAE_CS42_6AS_TGACv1_485566_AA1547700","TRIAE_CS42_6AS_TGACv1_485566_AA1547700")</f>
        <v>TRIAE_CS42_6AS_TGACv1_485566_AA1547700</v>
      </c>
      <c r="F452" s="9" t="str">
        <f>HYPERLINK("http://mar2016-plants.ensembl.org/Triticum_aestivum/Gene/Summary?db=core;g=Traes_6AS_F13F75511","Traes_6AS_F13F75511")</f>
        <v>Traes_6AS_F13F75511</v>
      </c>
      <c r="H452" s="8" t="str">
        <f>HYPERLINK("http://plants.ensembl.org/Brachypodium_distachyon/Gene/Summary?g=Bradi3g08260","Bradi3g08260")</f>
        <v>Bradi3g08260</v>
      </c>
      <c r="I452" s="8" t="str">
        <f>HYPERLINK("http://plants.ensembl.org/Arabidopsis_thaliana/Gene/Summary?g=AT5G11850","AT5G11850")</f>
        <v>AT5G11850</v>
      </c>
      <c r="J452" s="9" t="str">
        <f>HYPERLINK("http://plants.ensembl.org/Oryza_sativa/Gene/Summary?db=otherfeatures;g=LOC_Os02g12810","LOC_Os02g12810")</f>
        <v>LOC_Os02g12810</v>
      </c>
      <c r="L452" s="6"/>
      <c r="M452" s="1" t="s">
        <v>973</v>
      </c>
      <c r="N452" s="1" t="s">
        <v>973</v>
      </c>
      <c r="O452" s="1">
        <v>1</v>
      </c>
      <c r="P452" s="1" t="s">
        <v>973</v>
      </c>
      <c r="Q452" s="1" t="s">
        <v>973</v>
      </c>
      <c r="R452" s="1" t="s">
        <v>973</v>
      </c>
      <c r="S452" s="1"/>
      <c r="T452" s="6"/>
      <c r="U452" s="11">
        <v>7.7730341197336887</v>
      </c>
      <c r="V452" s="11">
        <v>7.7381519483444778</v>
      </c>
      <c r="W452" s="11">
        <v>7.2758147355577814</v>
      </c>
      <c r="X452" s="11">
        <v>7.6492250355696942</v>
      </c>
      <c r="Y452" s="11">
        <v>7.5069097272879732</v>
      </c>
      <c r="Z452" s="11">
        <v>7.4593337962253559</v>
      </c>
      <c r="AA452" s="11">
        <v>6.4050222975626401</v>
      </c>
      <c r="AB452" s="11">
        <v>7.2855366175245075</v>
      </c>
      <c r="AC452" s="11">
        <v>7.2695983033163811</v>
      </c>
      <c r="AD452" s="11">
        <v>6.9316546944931838</v>
      </c>
      <c r="AE452" s="11">
        <v>7.0407960140263226</v>
      </c>
      <c r="AF452" s="11">
        <v>7.1446215377561471</v>
      </c>
      <c r="AG452" s="11">
        <v>7.0023225966648557</v>
      </c>
      <c r="AH452" s="11">
        <v>7.2645301758040528</v>
      </c>
      <c r="AI452" s="11">
        <v>7.0613672320503005</v>
      </c>
      <c r="AJ452" s="11">
        <v>7.4018465998215754</v>
      </c>
      <c r="AK452" s="6"/>
      <c r="AL452" t="s">
        <v>1090</v>
      </c>
      <c r="AM452">
        <v>0</v>
      </c>
      <c r="AN452" s="6"/>
      <c r="AO452" s="20">
        <v>0.50109999999999999</v>
      </c>
      <c r="AP452" s="20">
        <v>0.67800000000000005</v>
      </c>
      <c r="AQ452" s="20">
        <v>0.23580000000000001</v>
      </c>
      <c r="AR452" s="20">
        <v>0.50460000000000005</v>
      </c>
      <c r="AS452" s="20">
        <v>0.50600000000000001</v>
      </c>
      <c r="AT452" s="20">
        <v>0.19</v>
      </c>
      <c r="AU452" s="20">
        <v>-0.66859999999999997</v>
      </c>
      <c r="AV452" s="20">
        <v>-0.11600000000000001</v>
      </c>
      <c r="AW452" s="6"/>
      <c r="AX452" s="18">
        <v>6.2820000000000001E-2</v>
      </c>
      <c r="AY452" s="18">
        <v>2.1059999999999999E-2</v>
      </c>
      <c r="AZ452" s="18">
        <v>0.36880000000000002</v>
      </c>
      <c r="BA452" s="18">
        <v>5.4120000000000001E-2</v>
      </c>
      <c r="BB452" s="18">
        <v>5.1769999999999997E-2</v>
      </c>
      <c r="BC452" s="18">
        <v>0.46760000000000002</v>
      </c>
      <c r="BD452" s="18">
        <v>1.184E-2</v>
      </c>
      <c r="BE452" s="18">
        <v>0.65780000000000005</v>
      </c>
      <c r="BF452" s="13"/>
      <c r="BG452" t="s">
        <v>1111</v>
      </c>
      <c r="BH452" t="s">
        <v>1193</v>
      </c>
      <c r="BI452" t="s">
        <v>1113</v>
      </c>
      <c r="BJ452" t="s">
        <v>1114</v>
      </c>
      <c r="BK452" t="s">
        <v>1115</v>
      </c>
      <c r="BL452" t="s">
        <v>1140</v>
      </c>
      <c r="BM452" t="s">
        <v>1117</v>
      </c>
      <c r="BN452" s="13"/>
      <c r="BO452" t="s">
        <v>973</v>
      </c>
      <c r="BP452" t="s">
        <v>973</v>
      </c>
      <c r="BQ452" t="s">
        <v>973</v>
      </c>
      <c r="BR452" t="s">
        <v>973</v>
      </c>
    </row>
    <row r="453" spans="1:70" x14ac:dyDescent="0.25">
      <c r="A453" t="s">
        <v>808</v>
      </c>
      <c r="B453" t="s">
        <v>809</v>
      </c>
      <c r="C453" t="s">
        <v>3</v>
      </c>
      <c r="D453" s="6"/>
      <c r="E453" s="9" t="str">
        <f>HYPERLINK("http://plants.ensembl.org/Triticum_aestivum/Gene/Summary?g=TRIAE_CS42_6BS_TGACv1_516058_AA1673580","TRIAE_CS42_6BS_TGACv1_516058_AA1673580")</f>
        <v>TRIAE_CS42_6BS_TGACv1_516058_AA1673580</v>
      </c>
      <c r="F453" s="9" t="str">
        <f>HYPERLINK("http://mar2016-plants.ensembl.org/Triticum_aestivum/Gene/Summary?db=core;g=Traes_6BS_EAABDE59A","Traes_6BS_EAABDE59A")</f>
        <v>Traes_6BS_EAABDE59A</v>
      </c>
      <c r="H453" s="8" t="str">
        <f>HYPERLINK("http://plants.ensembl.org/Brachypodium_distachyon/Gene/Summary?g=Bradi3g08260","Bradi3g08260")</f>
        <v>Bradi3g08260</v>
      </c>
      <c r="I453" s="8" t="str">
        <f>HYPERLINK("http://plants.ensembl.org/Arabidopsis_thaliana/Gene/Summary?g=AT5G11850","AT5G11850")</f>
        <v>AT5G11850</v>
      </c>
      <c r="J453" s="9" t="str">
        <f>HYPERLINK("http://plants.ensembl.org/Oryza_sativa/Gene/Summary?db=otherfeatures;g=LOC_Os02g12810","LOC_Os02g12810")</f>
        <v>LOC_Os02g12810</v>
      </c>
      <c r="L453" s="6"/>
      <c r="M453" s="1" t="s">
        <v>973</v>
      </c>
      <c r="N453" s="1" t="s">
        <v>973</v>
      </c>
      <c r="O453" s="1">
        <v>1</v>
      </c>
      <c r="P453" s="1" t="s">
        <v>973</v>
      </c>
      <c r="Q453" s="1" t="s">
        <v>973</v>
      </c>
      <c r="R453" s="1" t="s">
        <v>973</v>
      </c>
      <c r="S453" s="1"/>
      <c r="T453" s="6"/>
      <c r="U453" s="11">
        <v>8.5748928200356236</v>
      </c>
      <c r="V453" s="11">
        <v>9.1069063547694</v>
      </c>
      <c r="W453" s="11">
        <v>7.7461828606882275</v>
      </c>
      <c r="X453" s="11">
        <v>8.1157652074794466</v>
      </c>
      <c r="Y453" s="11">
        <v>7.633292427112873</v>
      </c>
      <c r="Z453" s="11">
        <v>7.8826516076968689</v>
      </c>
      <c r="AA453" s="11">
        <v>7.0098950367165731</v>
      </c>
      <c r="AB453" s="11">
        <v>7.8224335918078376</v>
      </c>
      <c r="AC453" s="11">
        <v>7.3654843334986042</v>
      </c>
      <c r="AD453" s="11">
        <v>7.6253079981787399</v>
      </c>
      <c r="AE453" s="11">
        <v>7.1676496275425245</v>
      </c>
      <c r="AF453" s="11">
        <v>7.4148734961070426</v>
      </c>
      <c r="AG453" s="11">
        <v>7.2242432289973051</v>
      </c>
      <c r="AH453" s="11">
        <v>7.5141177879143779</v>
      </c>
      <c r="AI453" s="11">
        <v>7.0730425618844812</v>
      </c>
      <c r="AJ453" s="11">
        <v>7.562611320230082</v>
      </c>
      <c r="AK453" s="6"/>
      <c r="AL453" t="s">
        <v>1096</v>
      </c>
      <c r="AM453">
        <v>0</v>
      </c>
      <c r="AN453" s="6"/>
      <c r="AO453" s="20">
        <v>1.2424999999999999</v>
      </c>
      <c r="AP453" s="20">
        <v>1.3935999999999999</v>
      </c>
      <c r="AQ453" s="20">
        <v>0.5796</v>
      </c>
      <c r="AR453" s="20">
        <v>0.70289999999999997</v>
      </c>
      <c r="AS453" s="20">
        <v>0.41410000000000002</v>
      </c>
      <c r="AT453" s="20">
        <v>0.36380000000000001</v>
      </c>
      <c r="AU453" s="20">
        <v>-5.7700000000000001E-2</v>
      </c>
      <c r="AV453" s="20">
        <v>0.25979999999999998</v>
      </c>
      <c r="AW453" s="6"/>
      <c r="AX453" s="18">
        <v>7.6189999999999996E-7</v>
      </c>
      <c r="AY453" s="18">
        <v>1.29E-7</v>
      </c>
      <c r="AZ453" s="18">
        <v>1.934E-2</v>
      </c>
      <c r="BA453" s="18">
        <v>4.4070000000000003E-3</v>
      </c>
      <c r="BB453" s="18">
        <v>9.3170000000000003E-2</v>
      </c>
      <c r="BC453" s="18">
        <v>0.14030000000000001</v>
      </c>
      <c r="BD453" s="18">
        <v>0.81759999999999999</v>
      </c>
      <c r="BE453" s="18">
        <v>0.2923</v>
      </c>
      <c r="BF453" s="13"/>
      <c r="BG453" t="s">
        <v>1191</v>
      </c>
      <c r="BH453" t="s">
        <v>1285</v>
      </c>
      <c r="BI453" t="s">
        <v>1113</v>
      </c>
      <c r="BJ453" t="s">
        <v>1114</v>
      </c>
      <c r="BK453" t="s">
        <v>1115</v>
      </c>
      <c r="BL453" t="s">
        <v>1116</v>
      </c>
      <c r="BM453" t="s">
        <v>1117</v>
      </c>
      <c r="BN453" s="13"/>
      <c r="BO453" t="s">
        <v>973</v>
      </c>
      <c r="BP453" t="s">
        <v>973</v>
      </c>
      <c r="BQ453" t="s">
        <v>973</v>
      </c>
      <c r="BR453" t="s">
        <v>973</v>
      </c>
    </row>
    <row r="454" spans="1:70" x14ac:dyDescent="0.25">
      <c r="A454" t="s">
        <v>826</v>
      </c>
      <c r="B454" t="s">
        <v>104</v>
      </c>
      <c r="C454" t="s">
        <v>3</v>
      </c>
      <c r="D454" s="6"/>
      <c r="E454" s="9" t="str">
        <f>HYPERLINK("http://plants.ensembl.org/Triticum_aestivum/Gene/Summary?g=TRIAE_CS42_6DS_TGACv1_544199_AA1747190","TRIAE_CS42_6DS_TGACv1_544199_AA1747190")</f>
        <v>TRIAE_CS42_6DS_TGACv1_544199_AA1747190</v>
      </c>
      <c r="F454" s="9" t="str">
        <f>HYPERLINK("http://mar2016-plants.ensembl.org/Triticum_aestivum/Gene/Summary?db=core;g=Traes_6DS_9D2014869","Traes_6DS_9D2014869")</f>
        <v>Traes_6DS_9D2014869</v>
      </c>
      <c r="H454" s="8" t="str">
        <f>HYPERLINK("http://plants.ensembl.org/Brachypodium_distachyon/Gene/Summary?g=Bradi3g08260","Bradi3g08260")</f>
        <v>Bradi3g08260</v>
      </c>
      <c r="I454" s="8" t="str">
        <f>HYPERLINK("http://plants.ensembl.org/Arabidopsis_thaliana/Gene/Summary?g=AT5G11850","AT5G11850")</f>
        <v>AT5G11850</v>
      </c>
      <c r="J454" s="9" t="str">
        <f>HYPERLINK("http://plants.ensembl.org/Oryza_sativa/Gene/Summary?db=otherfeatures;g=LOC_Os02g12810","LOC_Os02g12810")</f>
        <v>LOC_Os02g12810</v>
      </c>
      <c r="L454" s="6"/>
      <c r="M454" s="1" t="s">
        <v>973</v>
      </c>
      <c r="N454" s="1" t="s">
        <v>973</v>
      </c>
      <c r="O454" s="1">
        <v>1</v>
      </c>
      <c r="P454" s="1" t="s">
        <v>973</v>
      </c>
      <c r="Q454" s="1" t="s">
        <v>973</v>
      </c>
      <c r="R454" s="1" t="s">
        <v>973</v>
      </c>
      <c r="S454" s="1"/>
      <c r="T454" s="6"/>
      <c r="U454" s="11">
        <v>8.276107185908085</v>
      </c>
      <c r="V454" s="11">
        <v>8.6291162723256853</v>
      </c>
      <c r="W454" s="11">
        <v>7.8201832181464948</v>
      </c>
      <c r="X454" s="11">
        <v>8.2477207439758757</v>
      </c>
      <c r="Y454" s="11">
        <v>7.8941855869936779</v>
      </c>
      <c r="Z454" s="11">
        <v>7.8018967186780772</v>
      </c>
      <c r="AA454" s="11">
        <v>7.1642127245075873</v>
      </c>
      <c r="AB454" s="11">
        <v>8.1082153245061086</v>
      </c>
      <c r="AC454" s="11">
        <v>7.9490239853240112</v>
      </c>
      <c r="AD454" s="11">
        <v>8.0641087915754177</v>
      </c>
      <c r="AE454" s="11">
        <v>7.4569194712344169</v>
      </c>
      <c r="AF454" s="11">
        <v>7.8707976686378398</v>
      </c>
      <c r="AG454" s="11">
        <v>7.5008689609487904</v>
      </c>
      <c r="AH454" s="11">
        <v>7.7610338969618331</v>
      </c>
      <c r="AI454" s="11">
        <v>7.6578414768771426</v>
      </c>
      <c r="AJ454" s="11">
        <v>7.8874515500658751</v>
      </c>
      <c r="AK454" s="6"/>
      <c r="AL454" t="s">
        <v>1078</v>
      </c>
      <c r="AM454">
        <v>0</v>
      </c>
      <c r="AN454" s="6"/>
      <c r="AO454" s="20">
        <v>0.37690000000000001</v>
      </c>
      <c r="AP454" s="20">
        <v>0.48010000000000003</v>
      </c>
      <c r="AQ454" s="20">
        <v>0.36180000000000001</v>
      </c>
      <c r="AR454" s="20">
        <v>0.38750000000000001</v>
      </c>
      <c r="AS454" s="20">
        <v>0.39610000000000001</v>
      </c>
      <c r="AT454" s="20">
        <v>3.8699999999999998E-2</v>
      </c>
      <c r="AU454" s="20">
        <v>-0.49070000000000003</v>
      </c>
      <c r="AV454" s="20">
        <v>0.2213</v>
      </c>
      <c r="AW454" s="6"/>
      <c r="AX454" s="18">
        <v>5.697E-2</v>
      </c>
      <c r="AY454" s="18">
        <v>2.4510000000000001E-2</v>
      </c>
      <c r="AZ454" s="18">
        <v>6.1120000000000001E-2</v>
      </c>
      <c r="BA454" s="18">
        <v>4.2540000000000001E-2</v>
      </c>
      <c r="BB454" s="18">
        <v>3.8379999999999997E-2</v>
      </c>
      <c r="BC454" s="18">
        <v>0.84089999999999998</v>
      </c>
      <c r="BD454" s="18">
        <v>1.142E-2</v>
      </c>
      <c r="BE454" s="18">
        <v>0.2467</v>
      </c>
      <c r="BF454" s="13"/>
      <c r="BG454" t="s">
        <v>1111</v>
      </c>
      <c r="BH454" t="s">
        <v>1193</v>
      </c>
      <c r="BI454" t="s">
        <v>1113</v>
      </c>
      <c r="BJ454" t="s">
        <v>1114</v>
      </c>
      <c r="BK454" t="s">
        <v>1115</v>
      </c>
      <c r="BL454" t="s">
        <v>1116</v>
      </c>
      <c r="BM454" t="s">
        <v>1117</v>
      </c>
      <c r="BN454" s="13"/>
      <c r="BO454" t="s">
        <v>973</v>
      </c>
      <c r="BP454" t="s">
        <v>973</v>
      </c>
      <c r="BQ454" t="s">
        <v>973</v>
      </c>
      <c r="BR454" t="s">
        <v>973</v>
      </c>
    </row>
    <row r="455" spans="1:70" x14ac:dyDescent="0.25">
      <c r="A455" t="s">
        <v>828</v>
      </c>
      <c r="B455" t="s">
        <v>829</v>
      </c>
      <c r="C455" t="s">
        <v>3</v>
      </c>
      <c r="D455" s="6"/>
      <c r="E455" s="9" t="str">
        <f>HYPERLINK("http://plants.ensembl.org/Triticum_aestivum/Gene/Summary?g=TRIAE_CS42_6DS_TGACv1_543096_AA1735350","TRIAE_CS42_6DS_TGACv1_543096_AA1735350")</f>
        <v>TRIAE_CS42_6DS_TGACv1_543096_AA1735350</v>
      </c>
      <c r="F455" s="9" t="str">
        <f>HYPERLINK("http://mar2016-plants.ensembl.org/Triticum_aestivum/Gene/Summary?db=core;g=Traes_6DS_91E3FEAEC","Traes_6DS_91E3FEAEC")</f>
        <v>Traes_6DS_91E3FEAEC</v>
      </c>
      <c r="H455" s="1" t="s">
        <v>1051</v>
      </c>
      <c r="I455" s="1" t="s">
        <v>1051</v>
      </c>
      <c r="J455" s="1" t="s">
        <v>1051</v>
      </c>
      <c r="L455" s="6"/>
      <c r="M455" s="1" t="s">
        <v>973</v>
      </c>
      <c r="N455" s="1" t="s">
        <v>973</v>
      </c>
      <c r="O455" s="1">
        <v>1</v>
      </c>
      <c r="P455" s="1" t="s">
        <v>973</v>
      </c>
      <c r="Q455" s="1" t="s">
        <v>973</v>
      </c>
      <c r="R455" s="1" t="s">
        <v>973</v>
      </c>
      <c r="S455" s="1"/>
      <c r="T455" s="6"/>
      <c r="U455" s="11">
        <v>7.5332778125217246</v>
      </c>
      <c r="V455" s="11">
        <v>6.3100825600755162</v>
      </c>
      <c r="W455" s="11">
        <v>7.3152199211778663</v>
      </c>
      <c r="X455" s="11">
        <v>6.8587576855910672</v>
      </c>
      <c r="Y455" s="11">
        <v>7.4094288417447247</v>
      </c>
      <c r="Z455" s="11">
        <v>7.0939196361309156</v>
      </c>
      <c r="AA455" s="11">
        <v>6.5199852877835527</v>
      </c>
      <c r="AB455" s="11">
        <v>6.9146773292893533</v>
      </c>
      <c r="AC455" s="11">
        <v>7.6786820567361929</v>
      </c>
      <c r="AD455" s="11">
        <v>7.4624875490575056</v>
      </c>
      <c r="AE455" s="11">
        <v>7.5042249741052256</v>
      </c>
      <c r="AF455" s="11">
        <v>7.3581679508122866</v>
      </c>
      <c r="AG455" s="11">
        <v>7.4431187090890445</v>
      </c>
      <c r="AH455" s="11">
        <v>7.431422107162029</v>
      </c>
      <c r="AI455" s="11">
        <v>7.4018369313949286</v>
      </c>
      <c r="AJ455" s="11">
        <v>7.4242816438096639</v>
      </c>
      <c r="AK455" s="6"/>
      <c r="AL455" t="s">
        <v>1088</v>
      </c>
      <c r="AM455">
        <v>0</v>
      </c>
      <c r="AN455" s="6"/>
      <c r="AO455" s="20">
        <v>-0.13969999999999999</v>
      </c>
      <c r="AP455" s="20">
        <v>-1.1296999999999999</v>
      </c>
      <c r="AQ455" s="20">
        <v>-0.18920000000000001</v>
      </c>
      <c r="AR455" s="20">
        <v>-0.50349999999999995</v>
      </c>
      <c r="AS455" s="20">
        <v>-3.5700000000000003E-2</v>
      </c>
      <c r="AT455" s="20">
        <v>-0.34279999999999999</v>
      </c>
      <c r="AU455" s="20">
        <v>-0.88100000000000001</v>
      </c>
      <c r="AV455" s="20">
        <v>-0.51219999999999999</v>
      </c>
      <c r="AW455" s="6"/>
      <c r="AX455" s="18">
        <v>0.48120000000000002</v>
      </c>
      <c r="AY455" s="18">
        <v>1.8620000000000001E-5</v>
      </c>
      <c r="AZ455" s="18">
        <v>0.31019999999999998</v>
      </c>
      <c r="BA455" s="18">
        <v>9.1970000000000003E-3</v>
      </c>
      <c r="BB455" s="18">
        <v>0.84730000000000005</v>
      </c>
      <c r="BC455" s="18">
        <v>7.0860000000000006E-2</v>
      </c>
      <c r="BD455" s="18">
        <v>3.924E-6</v>
      </c>
      <c r="BE455" s="18">
        <v>7.7489999999999998E-3</v>
      </c>
      <c r="BF455" s="13"/>
      <c r="BG455" t="s">
        <v>1128</v>
      </c>
      <c r="BH455" t="s">
        <v>1193</v>
      </c>
      <c r="BI455" t="s">
        <v>1113</v>
      </c>
      <c r="BJ455" t="s">
        <v>1148</v>
      </c>
      <c r="BK455" t="s">
        <v>1115</v>
      </c>
      <c r="BL455" t="s">
        <v>1116</v>
      </c>
      <c r="BM455" t="s">
        <v>1117</v>
      </c>
      <c r="BN455" s="13"/>
      <c r="BO455" t="s">
        <v>973</v>
      </c>
      <c r="BP455" t="s">
        <v>973</v>
      </c>
      <c r="BQ455" t="s">
        <v>973</v>
      </c>
      <c r="BR455" t="s">
        <v>973</v>
      </c>
    </row>
    <row r="456" spans="1:70" x14ac:dyDescent="0.25">
      <c r="A456" t="s">
        <v>605</v>
      </c>
      <c r="B456" t="s">
        <v>606</v>
      </c>
      <c r="C456" t="s">
        <v>607</v>
      </c>
      <c r="D456" s="6"/>
      <c r="E456" s="9" t="str">
        <f>HYPERLINK("http://plants.ensembl.org/Triticum_aestivum/Gene/Summary?g=TRIAE_CS42_5AL_TGACv1_379316_AA1256040","TRIAE_CS42_5AL_TGACv1_379316_AA1256040")</f>
        <v>TRIAE_CS42_5AL_TGACv1_379316_AA1256040</v>
      </c>
      <c r="F456" s="9" t="str">
        <f>HYPERLINK("http://mar2016-plants.ensembl.org/Triticum_aestivum/Gene/Summary?db=core;g=Traes_5AL_E7806F3C1","Traes_5AL_E7806F3C1")</f>
        <v>Traes_5AL_E7806F3C1</v>
      </c>
      <c r="H456" s="8" t="str">
        <f>HYPERLINK("http://plants.ensembl.org/Brachypodium_distachyon/Gene/Summary?g=Bradi4g43070","Bradi4g43070")</f>
        <v>Bradi4g43070</v>
      </c>
      <c r="I456" s="8" t="str">
        <f>HYPERLINK("http://plants.ensembl.org/Arabidopsis_thaliana/Gene/Summary?g=AT3G47930","AT3G47930")</f>
        <v>AT3G47930</v>
      </c>
      <c r="J456" s="9" t="str">
        <f>HYPERLINK("http://plants.ensembl.org/Oryza_sativa/Gene/Summary?db=otherfeatures;g=LOC_Os12g04520","LOC_Os12g04520")</f>
        <v>LOC_Os12g04520</v>
      </c>
      <c r="L456" s="6"/>
      <c r="M456" s="1" t="s">
        <v>973</v>
      </c>
      <c r="N456" s="1" t="s">
        <v>973</v>
      </c>
      <c r="O456" s="1" t="s">
        <v>973</v>
      </c>
      <c r="P456" s="1" t="s">
        <v>973</v>
      </c>
      <c r="Q456" s="1">
        <v>1</v>
      </c>
      <c r="R456" s="1" t="s">
        <v>973</v>
      </c>
      <c r="S456" s="1"/>
      <c r="T456" s="6"/>
      <c r="U456" s="11">
        <v>6.7621906633595881</v>
      </c>
      <c r="V456" s="11">
        <v>6.4505266998681225</v>
      </c>
      <c r="W456" s="11">
        <v>7.6804856475852334</v>
      </c>
      <c r="X456" s="11">
        <v>7.2847149254230388</v>
      </c>
      <c r="Y456" s="11">
        <v>7.034610808571923</v>
      </c>
      <c r="Z456" s="11">
        <v>7.3623354553846765</v>
      </c>
      <c r="AA456" s="11">
        <v>7.2671518522748979</v>
      </c>
      <c r="AB456" s="11">
        <v>7.5161478188234003</v>
      </c>
      <c r="AC456" s="11">
        <v>7.4351368339136856</v>
      </c>
      <c r="AD456" s="11">
        <v>7.4820025380685502</v>
      </c>
      <c r="AE456" s="11">
        <v>7.7702079721936244</v>
      </c>
      <c r="AF456" s="11">
        <v>7.7995872915213509</v>
      </c>
      <c r="AG456" s="11">
        <v>7.6169663379041426</v>
      </c>
      <c r="AH456" s="11">
        <v>7.8258195409129403</v>
      </c>
      <c r="AI456" s="11">
        <v>7.4960092791075681</v>
      </c>
      <c r="AJ456" s="11">
        <v>7.3024652873324047</v>
      </c>
      <c r="AK456" s="6"/>
      <c r="AL456" t="s">
        <v>1088</v>
      </c>
      <c r="AM456">
        <v>0</v>
      </c>
      <c r="AN456" s="6"/>
      <c r="AO456" s="20">
        <v>-0.69279999999999997</v>
      </c>
      <c r="AP456" s="20">
        <v>-1.0687</v>
      </c>
      <c r="AQ456" s="20">
        <v>-9.0899999999999995E-2</v>
      </c>
      <c r="AR456" s="20">
        <v>-0.51270000000000004</v>
      </c>
      <c r="AS456" s="20">
        <v>-0.59209999999999996</v>
      </c>
      <c r="AT456" s="20">
        <v>-0.4516</v>
      </c>
      <c r="AU456" s="20">
        <v>-0.22770000000000001</v>
      </c>
      <c r="AV456" s="20">
        <v>0.21579999999999999</v>
      </c>
      <c r="AW456" s="6"/>
      <c r="AX456" s="18">
        <v>2.086E-4</v>
      </c>
      <c r="AY456" s="18">
        <v>2.7499999999999999E-6</v>
      </c>
      <c r="AZ456" s="18">
        <v>0.5554</v>
      </c>
      <c r="BA456" s="18">
        <v>1.2639999999999999E-3</v>
      </c>
      <c r="BB456" s="18">
        <v>2.0259999999999999E-4</v>
      </c>
      <c r="BC456" s="18">
        <v>4.0289999999999996E-3</v>
      </c>
      <c r="BD456" s="18">
        <v>0.14630000000000001</v>
      </c>
      <c r="BE456" s="18">
        <v>0.1782</v>
      </c>
      <c r="BF456" s="13"/>
      <c r="BG456" t="s">
        <v>1128</v>
      </c>
      <c r="BH456" t="s">
        <v>1112</v>
      </c>
      <c r="BI456" t="s">
        <v>1113</v>
      </c>
      <c r="BJ456" t="s">
        <v>1114</v>
      </c>
      <c r="BK456" t="s">
        <v>1115</v>
      </c>
      <c r="BL456" t="s">
        <v>1116</v>
      </c>
      <c r="BM456" t="s">
        <v>1117</v>
      </c>
      <c r="BN456" s="13"/>
      <c r="BO456" t="s">
        <v>973</v>
      </c>
      <c r="BP456" t="s">
        <v>973</v>
      </c>
      <c r="BQ456" t="s">
        <v>973</v>
      </c>
      <c r="BR456" t="s">
        <v>973</v>
      </c>
    </row>
    <row r="457" spans="1:70" x14ac:dyDescent="0.25">
      <c r="A457" t="s">
        <v>670</v>
      </c>
      <c r="B457" t="s">
        <v>671</v>
      </c>
      <c r="C457" t="s">
        <v>607</v>
      </c>
      <c r="D457" s="6"/>
      <c r="E457" s="9" t="str">
        <f>HYPERLINK("http://plants.ensembl.org/Triticum_aestivum/Gene/Summary?g=TRIAE_CS42_5BL_TGACv1_407246_AA1354790","TRIAE_CS42_5BL_TGACv1_407246_AA1354790")</f>
        <v>TRIAE_CS42_5BL_TGACv1_407246_AA1354790</v>
      </c>
      <c r="F457" s="9" t="str">
        <f>HYPERLINK("http://mar2016-plants.ensembl.org/Triticum_aestivum/Gene/Summary?db=core;g=Traes_5BL_E8D36EEA8","Traes_5BL_E8D36EEA8")</f>
        <v>Traes_5BL_E8D36EEA8</v>
      </c>
      <c r="H457" s="8" t="str">
        <f>HYPERLINK("http://plants.ensembl.org/Brachypodium_distachyon/Gene/Summary?g=Bradi4g43070","Bradi4g43070")</f>
        <v>Bradi4g43070</v>
      </c>
      <c r="I457" s="8" t="str">
        <f>HYPERLINK("http://plants.ensembl.org/Arabidopsis_thaliana/Gene/Summary?g=AT3G47930","AT3G47930")</f>
        <v>AT3G47930</v>
      </c>
      <c r="J457" s="9" t="str">
        <f>HYPERLINK("http://plants.ensembl.org/Oryza_sativa/Gene/Summary?db=otherfeatures;g=LOC_Os12g04520","LOC_Os12g04520")</f>
        <v>LOC_Os12g04520</v>
      </c>
      <c r="L457" s="6"/>
      <c r="M457" s="1" t="s">
        <v>973</v>
      </c>
      <c r="N457" s="1" t="s">
        <v>973</v>
      </c>
      <c r="O457" s="1" t="s">
        <v>973</v>
      </c>
      <c r="P457" s="1" t="s">
        <v>973</v>
      </c>
      <c r="Q457" s="1">
        <v>1</v>
      </c>
      <c r="R457" s="1" t="s">
        <v>973</v>
      </c>
      <c r="S457" s="1"/>
      <c r="T457" s="6"/>
      <c r="U457" s="11">
        <v>6.7766339319730662</v>
      </c>
      <c r="V457" s="11">
        <v>6.6141508141697365</v>
      </c>
      <c r="W457" s="11">
        <v>7.4775391813903154</v>
      </c>
      <c r="X457" s="11">
        <v>7.322037495113257</v>
      </c>
      <c r="Y457" s="11">
        <v>7.0040320280192443</v>
      </c>
      <c r="Z457" s="11">
        <v>7.4495212074873436</v>
      </c>
      <c r="AA457" s="11">
        <v>7.2771140958128964</v>
      </c>
      <c r="AB457" s="11">
        <v>7.5808298784486761</v>
      </c>
      <c r="AC457" s="11">
        <v>7.3469651603341175</v>
      </c>
      <c r="AD457" s="11">
        <v>7.7241486424797321</v>
      </c>
      <c r="AE457" s="11">
        <v>7.7804223130434744</v>
      </c>
      <c r="AF457" s="11">
        <v>7.8099247939382366</v>
      </c>
      <c r="AG457" s="11">
        <v>7.6101458754659452</v>
      </c>
      <c r="AH457" s="11">
        <v>7.886048311397996</v>
      </c>
      <c r="AI457" s="11">
        <v>7.65549446898717</v>
      </c>
      <c r="AJ457" s="11">
        <v>7.6954702866273497</v>
      </c>
      <c r="AK457" s="6"/>
      <c r="AL457" t="s">
        <v>1088</v>
      </c>
      <c r="AM457">
        <v>0</v>
      </c>
      <c r="AN457" s="6"/>
      <c r="AO457" s="20">
        <v>-0.6109</v>
      </c>
      <c r="AP457" s="20">
        <v>-1.1221000000000001</v>
      </c>
      <c r="AQ457" s="20">
        <v>-0.30520000000000003</v>
      </c>
      <c r="AR457" s="20">
        <v>-0.49590000000000001</v>
      </c>
      <c r="AS457" s="20">
        <v>-0.61119999999999997</v>
      </c>
      <c r="AT457" s="20">
        <v>-0.43190000000000001</v>
      </c>
      <c r="AU457" s="20">
        <v>-0.38169999999999998</v>
      </c>
      <c r="AV457" s="20">
        <v>-0.1125</v>
      </c>
      <c r="AW457" s="6"/>
      <c r="AX457" s="18">
        <v>5.8870000000000005E-4</v>
      </c>
      <c r="AY457" s="18">
        <v>1.4850000000000001E-7</v>
      </c>
      <c r="AZ457" s="18">
        <v>3.3799999999999997E-2</v>
      </c>
      <c r="BA457" s="18">
        <v>7.6590000000000002E-4</v>
      </c>
      <c r="BB457" s="18">
        <v>3.862E-5</v>
      </c>
      <c r="BC457" s="18">
        <v>2.8300000000000001E-3</v>
      </c>
      <c r="BD457" s="18">
        <v>8.1040000000000001E-3</v>
      </c>
      <c r="BE457" s="18">
        <v>0.44019999999999998</v>
      </c>
      <c r="BF457" s="13"/>
      <c r="BG457" t="s">
        <v>1128</v>
      </c>
      <c r="BH457" t="s">
        <v>1112</v>
      </c>
      <c r="BI457" t="s">
        <v>1113</v>
      </c>
      <c r="BJ457" t="s">
        <v>1114</v>
      </c>
      <c r="BK457" t="s">
        <v>1115</v>
      </c>
      <c r="BL457" t="s">
        <v>1116</v>
      </c>
      <c r="BM457" t="s">
        <v>1117</v>
      </c>
      <c r="BN457" s="13"/>
      <c r="BO457" t="s">
        <v>973</v>
      </c>
      <c r="BP457" t="s">
        <v>973</v>
      </c>
      <c r="BQ457" t="s">
        <v>973</v>
      </c>
      <c r="BR457" t="s">
        <v>973</v>
      </c>
    </row>
    <row r="458" spans="1:70" x14ac:dyDescent="0.25">
      <c r="A458" t="s">
        <v>217</v>
      </c>
      <c r="B458" t="s">
        <v>156</v>
      </c>
      <c r="C458" s="3" t="s">
        <v>82</v>
      </c>
      <c r="D458" s="6"/>
      <c r="E458" s="9" t="str">
        <f>HYPERLINK("http://plants.ensembl.org/Triticum_aestivum/Gene/Summary?g=TRIAE_CS42_2BL_TGACv1_133094_AA0441380","TRIAE_CS42_2BL_TGACv1_133094_AA0441380")</f>
        <v>TRIAE_CS42_2BL_TGACv1_133094_AA0441380</v>
      </c>
      <c r="F458" s="9" t="str">
        <f>HYPERLINK("http://mar2016-plants.ensembl.org/Triticum_aestivum/Gene/Summary?db=core;g=Traes_2BL_13328C671","Traes_2BL_13328C671")</f>
        <v>Traes_2BL_13328C671</v>
      </c>
      <c r="G458" t="s">
        <v>990</v>
      </c>
      <c r="H458" s="8" t="str">
        <f>HYPERLINK("http://plants.ensembl.org/Brachypodium_distachyon/Gene/Summary?g=Bradi5g11590","Bradi5g11590")</f>
        <v>Bradi5g11590</v>
      </c>
      <c r="I458" s="1" t="s">
        <v>1051</v>
      </c>
      <c r="J458" s="9" t="str">
        <f>HYPERLINK("http://plants.ensembl.org/Oryza_sativa/Gene/Summary?db=otherfeatures;g=LOC_Os03g08220","LOC_Os03g08220")</f>
        <v>LOC_Os03g08220</v>
      </c>
      <c r="K458" s="9" t="str">
        <f>HYPERLINK("http://plants.ensembl.org/Zea_mays/Gene/Summary?db=otherfeatures;g=GRMZM2G104843","GRMZM2G104843")</f>
        <v>GRMZM2G104843</v>
      </c>
      <c r="L458" s="6"/>
      <c r="M458" t="s">
        <v>973</v>
      </c>
      <c r="N458">
        <v>1</v>
      </c>
      <c r="O458" t="s">
        <v>973</v>
      </c>
      <c r="P458" t="s">
        <v>973</v>
      </c>
      <c r="S458" t="s">
        <v>973</v>
      </c>
      <c r="T458" s="6"/>
      <c r="U458" s="11">
        <v>10.410699058254435</v>
      </c>
      <c r="V458" s="11">
        <v>11.311145893390318</v>
      </c>
      <c r="W458" s="11">
        <v>8.7091934325249305</v>
      </c>
      <c r="X458" s="11">
        <v>9.1225056922213348</v>
      </c>
      <c r="Y458" s="11">
        <v>9.1363523923741248</v>
      </c>
      <c r="Z458" s="11">
        <v>8.7046323482052355</v>
      </c>
      <c r="AA458" s="11">
        <v>9.0131582233411613</v>
      </c>
      <c r="AB458" s="11">
        <v>8.4951221701695818</v>
      </c>
      <c r="AC458" s="11">
        <v>5.8379222234535257</v>
      </c>
      <c r="AD458" s="11">
        <v>5.3580773783593383</v>
      </c>
      <c r="AE458" s="11">
        <v>6.2288013780515161</v>
      </c>
      <c r="AF458" s="11">
        <v>5.9050379479360249</v>
      </c>
      <c r="AG458" s="11">
        <v>5.4203555133834742</v>
      </c>
      <c r="AH458" s="11">
        <v>5.2266806359381297</v>
      </c>
      <c r="AI458" s="11">
        <v>6.0188804177010304</v>
      </c>
      <c r="AJ458" s="11">
        <v>5.3050390572244179</v>
      </c>
      <c r="AK458" s="6"/>
      <c r="AL458" t="s">
        <v>1077</v>
      </c>
      <c r="AM458" s="12">
        <v>5637</v>
      </c>
      <c r="AN458" s="6"/>
      <c r="AO458" s="20">
        <v>4.5555000000000003</v>
      </c>
      <c r="AP458" s="20">
        <v>5.8623000000000003</v>
      </c>
      <c r="AQ458" s="20">
        <v>2.4634999999999998</v>
      </c>
      <c r="AR458" s="20">
        <v>3.1817000000000002</v>
      </c>
      <c r="AS458" s="20">
        <v>3.694</v>
      </c>
      <c r="AT458" s="20">
        <v>3.4617</v>
      </c>
      <c r="AU458" s="20">
        <v>2.9754999999999998</v>
      </c>
      <c r="AV458" s="20">
        <v>3.1785000000000001</v>
      </c>
      <c r="AW458" s="6"/>
      <c r="AX458" s="18">
        <v>9.8220000000000006E-19</v>
      </c>
      <c r="AY458" s="18">
        <v>3.2680000000000002E-27</v>
      </c>
      <c r="AZ458" s="18">
        <v>1.474E-6</v>
      </c>
      <c r="BA458" s="18">
        <v>6.1139999999999998E-10</v>
      </c>
      <c r="BB458" s="18">
        <v>5.9109999999999998E-13</v>
      </c>
      <c r="BC458" s="18">
        <v>2.867E-11</v>
      </c>
      <c r="BD458" s="18">
        <v>6.2389999999999997E-9</v>
      </c>
      <c r="BE458" s="18">
        <v>8.3440000000000003E-10</v>
      </c>
      <c r="BF458" s="13"/>
      <c r="BG458" t="s">
        <v>1131</v>
      </c>
      <c r="BH458" t="s">
        <v>1144</v>
      </c>
      <c r="BI458" t="s">
        <v>1113</v>
      </c>
      <c r="BJ458" t="s">
        <v>1114</v>
      </c>
      <c r="BK458" t="s">
        <v>1115</v>
      </c>
      <c r="BL458" t="s">
        <v>1116</v>
      </c>
      <c r="BM458" t="s">
        <v>1117</v>
      </c>
      <c r="BN458" s="13"/>
      <c r="BO458" t="s">
        <v>973</v>
      </c>
      <c r="BP458" t="s">
        <v>973</v>
      </c>
      <c r="BQ458" t="s">
        <v>973</v>
      </c>
      <c r="BR458" t="s">
        <v>973</v>
      </c>
    </row>
    <row r="459" spans="1:70" x14ac:dyDescent="0.25">
      <c r="A459" t="s">
        <v>455</v>
      </c>
      <c r="B459" t="s">
        <v>456</v>
      </c>
      <c r="C459" s="3" t="s">
        <v>82</v>
      </c>
      <c r="D459" s="6"/>
      <c r="E459" s="9" t="str">
        <f>HYPERLINK("http://plants.ensembl.org/Triticum_aestivum/Gene/Summary?g=TRIAE_CS42_4AS_TGACv1_306436_AA1008070","TRIAE_CS42_4AS_TGACv1_306436_AA1008070")</f>
        <v>TRIAE_CS42_4AS_TGACv1_306436_AA1008070</v>
      </c>
      <c r="F459" s="9" t="str">
        <f>HYPERLINK("http://mar2016-plants.ensembl.org/Triticum_aestivum/Gene/Summary?db=core;g=Traes_4AS_4A582A66D","Traes_4AS_4A582A66D")</f>
        <v>Traes_4AS_4A582A66D</v>
      </c>
      <c r="G459" t="s">
        <v>990</v>
      </c>
      <c r="H459" s="8" t="str">
        <f>HYPERLINK("http://plants.ensembl.org/Brachypodium_distachyon/Gene/Summary?g=Bradi1g72690","Bradi1g72690")</f>
        <v>Bradi1g72690</v>
      </c>
      <c r="I459" s="8" t="str">
        <f>HYPERLINK("http://plants.ensembl.org/Arabidopsis_thaliana/Gene/Summary?g=AT1G72520","AT1G72520")</f>
        <v>AT1G72520</v>
      </c>
      <c r="J459" s="9" t="str">
        <f>HYPERLINK("http://plants.ensembl.org/Oryza_sativa/Gene/Summary?db=otherfeatures;g=LOC_Os03g08220","LOC_Os03g08220")</f>
        <v>LOC_Os03g08220</v>
      </c>
      <c r="K459" s="9" t="str">
        <f>HYPERLINK("http://plants.ensembl.org/Zea_mays/Gene/Summary?db=otherfeatures;g=GRMZM2G017616","GRMZM2G017616")</f>
        <v>GRMZM2G017616</v>
      </c>
      <c r="L459" s="6"/>
      <c r="M459" t="s">
        <v>973</v>
      </c>
      <c r="N459">
        <v>1</v>
      </c>
      <c r="O459" t="s">
        <v>973</v>
      </c>
      <c r="P459" t="s">
        <v>973</v>
      </c>
      <c r="S459" t="s">
        <v>973</v>
      </c>
      <c r="T459" s="6"/>
      <c r="U459" s="11">
        <v>9.8738687068527078</v>
      </c>
      <c r="V459" s="11">
        <v>10.364869279154698</v>
      </c>
      <c r="W459" s="11">
        <v>8.6530538051689838</v>
      </c>
      <c r="X459" s="11">
        <v>8.8394906185957964</v>
      </c>
      <c r="Y459" s="11">
        <v>8.6897674012457955</v>
      </c>
      <c r="Z459" s="11">
        <v>8.5405484807689511</v>
      </c>
      <c r="AA459" s="11">
        <v>8.2137837184573321</v>
      </c>
      <c r="AB459" s="11">
        <v>8.5784264100713852</v>
      </c>
      <c r="AC459" s="11">
        <v>6.9916446636083016</v>
      </c>
      <c r="AD459" s="11">
        <v>6.702478857536696</v>
      </c>
      <c r="AE459" s="11">
        <v>7.0033848566496708</v>
      </c>
      <c r="AF459" s="11">
        <v>6.8920015590303132</v>
      </c>
      <c r="AG459" s="11">
        <v>6.3385218748243704</v>
      </c>
      <c r="AH459" s="11">
        <v>6.1869607024945354</v>
      </c>
      <c r="AI459" s="11">
        <v>7.3083438846255939</v>
      </c>
      <c r="AJ459" s="11">
        <v>6.7227460659294822</v>
      </c>
      <c r="AK459" s="6"/>
      <c r="AL459" t="s">
        <v>1077</v>
      </c>
      <c r="AM459" s="12">
        <v>3037</v>
      </c>
      <c r="AN459" s="6"/>
      <c r="AO459" s="20">
        <v>2.9058999999999999</v>
      </c>
      <c r="AP459" s="20">
        <v>3.7153999999999998</v>
      </c>
      <c r="AQ459" s="20">
        <v>1.6491</v>
      </c>
      <c r="AR459" s="20">
        <v>1.9436</v>
      </c>
      <c r="AS459" s="20">
        <v>2.3555999999999999</v>
      </c>
      <c r="AT459" s="20">
        <v>2.3571</v>
      </c>
      <c r="AU459" s="20">
        <v>0.90620000000000001</v>
      </c>
      <c r="AV459" s="20">
        <v>1.8597999999999999</v>
      </c>
      <c r="AW459" s="6"/>
      <c r="AX459" s="18">
        <v>2.7779999999999998E-32</v>
      </c>
      <c r="AY459" s="18">
        <v>3.7020000000000002E-44</v>
      </c>
      <c r="AZ459" s="18">
        <v>1.176E-11</v>
      </c>
      <c r="BA459" s="18">
        <v>2.0949999999999999E-15</v>
      </c>
      <c r="BB459" s="18">
        <v>5.305E-22</v>
      </c>
      <c r="BC459" s="18">
        <v>8.7340000000000006E-21</v>
      </c>
      <c r="BD459" s="18">
        <v>1.7640000000000001E-4</v>
      </c>
      <c r="BE459" s="18">
        <v>3.5520000000000003E-14</v>
      </c>
      <c r="BF459" s="13"/>
      <c r="BG459" t="s">
        <v>1190</v>
      </c>
      <c r="BH459" t="s">
        <v>1132</v>
      </c>
      <c r="BI459" t="s">
        <v>1113</v>
      </c>
      <c r="BJ459" t="s">
        <v>1114</v>
      </c>
      <c r="BK459" t="s">
        <v>1115</v>
      </c>
      <c r="BL459" t="s">
        <v>1116</v>
      </c>
      <c r="BM459" t="s">
        <v>1117</v>
      </c>
      <c r="BN459" s="13"/>
      <c r="BO459" t="s">
        <v>973</v>
      </c>
      <c r="BP459" t="s">
        <v>973</v>
      </c>
      <c r="BQ459" t="s">
        <v>973</v>
      </c>
      <c r="BR459" t="s">
        <v>973</v>
      </c>
    </row>
    <row r="460" spans="1:70" x14ac:dyDescent="0.25">
      <c r="A460" t="s">
        <v>530</v>
      </c>
      <c r="B460" t="s">
        <v>531</v>
      </c>
      <c r="C460" s="3" t="s">
        <v>82</v>
      </c>
      <c r="D460" s="6"/>
      <c r="E460" s="9" t="str">
        <f>HYPERLINK("http://plants.ensembl.org/Triticum_aestivum/Gene/Summary?g=TRIAE_CS42_4BS_TGACv1_328595_AA1090730","TRIAE_CS42_4BS_TGACv1_328595_AA1090730")</f>
        <v>TRIAE_CS42_4BS_TGACv1_328595_AA1090730</v>
      </c>
      <c r="F460" s="9" t="str">
        <f>HYPERLINK("http://mar2016-plants.ensembl.org/Triticum_aestivum/Gene/Summary?db=core;g=Traes_4BS_63DD9D036","Traes_4BS_63DD9D036")</f>
        <v>Traes_4BS_63DD9D036</v>
      </c>
      <c r="G460" t="s">
        <v>986</v>
      </c>
      <c r="H460" s="1" t="s">
        <v>1051</v>
      </c>
      <c r="I460" s="1" t="s">
        <v>1051</v>
      </c>
      <c r="J460" s="9" t="str">
        <f>HYPERLINK("http://plants.ensembl.org/Oryza_sativa/Gene/Summary?g=OS03G0700400","OS03G0700400")</f>
        <v>OS03G0700400</v>
      </c>
      <c r="K460" s="9" t="str">
        <f>HYPERLINK("http://plants.ensembl.org/Zea_mays/Gene/Summary?db=otherfeatures;g=GRMZM2G109130","GRMZM2G109130")</f>
        <v>GRMZM2G109130</v>
      </c>
      <c r="L460" s="6"/>
      <c r="M460" t="s">
        <v>973</v>
      </c>
      <c r="N460">
        <v>1</v>
      </c>
      <c r="O460" t="s">
        <v>973</v>
      </c>
      <c r="P460" t="s">
        <v>973</v>
      </c>
      <c r="S460" t="s">
        <v>973</v>
      </c>
      <c r="T460" s="6"/>
      <c r="U460" s="11">
        <v>10.514094143917067</v>
      </c>
      <c r="V460" s="11">
        <v>11.461015561607178</v>
      </c>
      <c r="W460" s="11">
        <v>10.165641910677738</v>
      </c>
      <c r="X460" s="11">
        <v>10.491118069729465</v>
      </c>
      <c r="Y460" s="11">
        <v>10.051941297797441</v>
      </c>
      <c r="Z460" s="11">
        <v>10.669930470642328</v>
      </c>
      <c r="AA460" s="11">
        <v>9.9043839407207184</v>
      </c>
      <c r="AB460" s="11">
        <v>10.119463652295044</v>
      </c>
      <c r="AC460" s="11">
        <v>8.826754284393509</v>
      </c>
      <c r="AD460" s="11">
        <v>9.5638780141629223</v>
      </c>
      <c r="AE460" s="11">
        <v>9.3338365739474263</v>
      </c>
      <c r="AF460" s="11">
        <v>9.1904308245288373</v>
      </c>
      <c r="AG460" s="11">
        <v>9.2128635478261796</v>
      </c>
      <c r="AH460" s="11">
        <v>8.8852383796874985</v>
      </c>
      <c r="AI460" s="11">
        <v>8.8465608022928048</v>
      </c>
      <c r="AJ460" s="11">
        <v>8.4806269085254034</v>
      </c>
      <c r="AK460" s="6"/>
      <c r="AL460" t="s">
        <v>1077</v>
      </c>
      <c r="AM460">
        <v>88</v>
      </c>
      <c r="AN460" s="6"/>
      <c r="AO460" s="20">
        <v>1.6816</v>
      </c>
      <c r="AP460" s="20">
        <v>1.883</v>
      </c>
      <c r="AQ460" s="20">
        <v>0.82650000000000001</v>
      </c>
      <c r="AR460" s="20">
        <v>1.2919</v>
      </c>
      <c r="AS460" s="20">
        <v>0.83350000000000002</v>
      </c>
      <c r="AT460" s="20">
        <v>1.7736000000000001</v>
      </c>
      <c r="AU460" s="20">
        <v>1.0518000000000001</v>
      </c>
      <c r="AV460" s="20">
        <v>1.6293</v>
      </c>
      <c r="AW460" s="6"/>
      <c r="AX460" s="18">
        <v>1.324E-5</v>
      </c>
      <c r="AY460" s="18">
        <v>1.2270000000000001E-6</v>
      </c>
      <c r="AZ460" s="18">
        <v>3.1550000000000002E-2</v>
      </c>
      <c r="BA460" s="18">
        <v>7.8310000000000001E-4</v>
      </c>
      <c r="BB460" s="18">
        <v>3.0099999999999998E-2</v>
      </c>
      <c r="BC460" s="18">
        <v>4.0509999999999998E-6</v>
      </c>
      <c r="BD460" s="18">
        <v>6.2680000000000001E-3</v>
      </c>
      <c r="BE460" s="18">
        <v>2.3589999999999999E-5</v>
      </c>
      <c r="BF460" s="13"/>
      <c r="BG460" t="s">
        <v>1327</v>
      </c>
      <c r="BH460" t="s">
        <v>1155</v>
      </c>
      <c r="BI460" t="s">
        <v>1221</v>
      </c>
      <c r="BJ460" t="s">
        <v>1114</v>
      </c>
      <c r="BK460" t="s">
        <v>1115</v>
      </c>
      <c r="BL460" t="s">
        <v>1116</v>
      </c>
      <c r="BM460" t="s">
        <v>1117</v>
      </c>
      <c r="BN460" s="13"/>
      <c r="BO460" t="s">
        <v>973</v>
      </c>
      <c r="BP460" t="s">
        <v>973</v>
      </c>
      <c r="BQ460" t="s">
        <v>973</v>
      </c>
      <c r="BR460" t="s">
        <v>973</v>
      </c>
    </row>
    <row r="461" spans="1:70" x14ac:dyDescent="0.25">
      <c r="A461" t="s">
        <v>532</v>
      </c>
      <c r="B461" t="s">
        <v>533</v>
      </c>
      <c r="C461" s="3" t="s">
        <v>82</v>
      </c>
      <c r="D461" s="6"/>
      <c r="E461" s="9" t="str">
        <f>HYPERLINK("http://plants.ensembl.org/Triticum_aestivum/Gene/Summary?g=TRIAE_CS42_4BS_TGACv1_329963_AA1105070","TRIAE_CS42_4BS_TGACv1_329963_AA1105070")</f>
        <v>TRIAE_CS42_4BS_TGACv1_329963_AA1105070</v>
      </c>
      <c r="F461" s="9" t="str">
        <f>HYPERLINK("http://mar2016-plants.ensembl.org/Triticum_aestivum/Gene/Summary?db=core;g=Traes_4BS_71CB57A0D","Traes_4BS_71CB57A0D")</f>
        <v>Traes_4BS_71CB57A0D</v>
      </c>
      <c r="G461" t="s">
        <v>986</v>
      </c>
      <c r="H461" s="8" t="str">
        <f>HYPERLINK("http://plants.ensembl.org/Brachypodium_distachyon/Gene/Summary?g=Bradi1g11680","Bradi1g11680")</f>
        <v>Bradi1g11680</v>
      </c>
      <c r="I461" s="1" t="s">
        <v>1051</v>
      </c>
      <c r="J461" s="9" t="str">
        <f>HYPERLINK("http://plants.ensembl.org/Oryza_sativa/Gene/Summary?db=otherfeatures;g=LOC_Os03g52860","LOC_Os03g52860")</f>
        <v>LOC_Os03g52860</v>
      </c>
      <c r="K461" s="9" t="str">
        <f>HYPERLINK("http://plants.ensembl.org/Zea_mays/Gene/Summary?db=otherfeatures;g=GRMZM2G109130","GRMZM2G109130")</f>
        <v>GRMZM2G109130</v>
      </c>
      <c r="L461" s="6"/>
      <c r="M461" t="s">
        <v>973</v>
      </c>
      <c r="N461">
        <v>1</v>
      </c>
      <c r="O461" t="s">
        <v>973</v>
      </c>
      <c r="P461" t="s">
        <v>973</v>
      </c>
      <c r="S461" t="s">
        <v>973</v>
      </c>
      <c r="T461" s="6"/>
      <c r="U461" s="11">
        <v>10.610741980451708</v>
      </c>
      <c r="V461" s="11">
        <v>11.945015512338816</v>
      </c>
      <c r="W461" s="11">
        <v>10.639178581021655</v>
      </c>
      <c r="X461" s="11">
        <v>11.088393706820449</v>
      </c>
      <c r="Y461" s="11">
        <v>9.8953170130656325</v>
      </c>
      <c r="Z461" s="11">
        <v>10.561843465156029</v>
      </c>
      <c r="AA461" s="11">
        <v>9.8183210947557384</v>
      </c>
      <c r="AB461" s="11">
        <v>10.863902144164955</v>
      </c>
      <c r="AC461" s="11">
        <v>8.9190225012210718</v>
      </c>
      <c r="AD461" s="11">
        <v>9.7618785718419048</v>
      </c>
      <c r="AE461" s="11">
        <v>9.9691909347622687</v>
      </c>
      <c r="AF461" s="11">
        <v>9.872495179809091</v>
      </c>
      <c r="AG461" s="11">
        <v>9.493079333378903</v>
      </c>
      <c r="AH461" s="11">
        <v>9.3956155324408126</v>
      </c>
      <c r="AI461" s="11">
        <v>9.2431314479426163</v>
      </c>
      <c r="AJ461" s="11">
        <v>8.9646105115151578</v>
      </c>
      <c r="AK461" s="6"/>
      <c r="AL461" t="s">
        <v>1077</v>
      </c>
      <c r="AM461">
        <v>0</v>
      </c>
      <c r="AN461" s="6"/>
      <c r="AO461" s="20">
        <v>1.6891</v>
      </c>
      <c r="AP461" s="20">
        <v>2.1709999999999998</v>
      </c>
      <c r="AQ461" s="20">
        <v>0.66610000000000003</v>
      </c>
      <c r="AR461" s="20">
        <v>1.2082999999999999</v>
      </c>
      <c r="AS461" s="20">
        <v>0.39979999999999999</v>
      </c>
      <c r="AT461" s="20">
        <v>1.1598999999999999</v>
      </c>
      <c r="AU461" s="20">
        <v>0.57220000000000004</v>
      </c>
      <c r="AV461" s="20">
        <v>1.889</v>
      </c>
      <c r="AW461" s="6"/>
      <c r="AX461" s="18">
        <v>3.2210000000000002E-6</v>
      </c>
      <c r="AY461" s="18">
        <v>2.5220000000000002E-9</v>
      </c>
      <c r="AZ461" s="18">
        <v>6.4759999999999998E-2</v>
      </c>
      <c r="BA461" s="18">
        <v>8.1010000000000001E-4</v>
      </c>
      <c r="BB461" s="18">
        <v>0.26819999999999999</v>
      </c>
      <c r="BC461" s="18">
        <v>1.322E-3</v>
      </c>
      <c r="BD461" s="18">
        <v>0.1133</v>
      </c>
      <c r="BE461" s="18">
        <v>1.7240000000000001E-7</v>
      </c>
      <c r="BF461" s="13"/>
      <c r="BG461" t="s">
        <v>1258</v>
      </c>
      <c r="BH461" t="s">
        <v>1269</v>
      </c>
      <c r="BI461" t="s">
        <v>1137</v>
      </c>
      <c r="BJ461" t="s">
        <v>1233</v>
      </c>
      <c r="BK461" t="s">
        <v>1115</v>
      </c>
      <c r="BL461" t="s">
        <v>1116</v>
      </c>
      <c r="BM461" t="s">
        <v>1117</v>
      </c>
      <c r="BN461" s="13"/>
      <c r="BO461" t="s">
        <v>973</v>
      </c>
      <c r="BP461" t="s">
        <v>973</v>
      </c>
      <c r="BQ461" t="s">
        <v>973</v>
      </c>
      <c r="BR461" t="s">
        <v>973</v>
      </c>
    </row>
    <row r="462" spans="1:70" x14ac:dyDescent="0.25">
      <c r="A462" t="s">
        <v>562</v>
      </c>
      <c r="B462" t="s">
        <v>563</v>
      </c>
      <c r="C462" s="3" t="s">
        <v>82</v>
      </c>
      <c r="D462" s="6"/>
      <c r="E462" s="9" t="str">
        <f>HYPERLINK("http://plants.ensembl.org/Triticum_aestivum/Gene/Summary?g=TRIAE_CS42_4DS_TGACv1_362339_AA1178930","TRIAE_CS42_4DS_TGACv1_362339_AA1178930")</f>
        <v>TRIAE_CS42_4DS_TGACv1_362339_AA1178930</v>
      </c>
      <c r="F462" s="9" t="str">
        <f>HYPERLINK("http://mar2016-plants.ensembl.org/Triticum_aestivum/Gene/Summary?db=core;g=Traes_4DS_7868A8C2E","Traes_4DS_7868A8C2E")</f>
        <v>Traes_4DS_7868A8C2E</v>
      </c>
      <c r="G462" t="s">
        <v>986</v>
      </c>
      <c r="H462" s="8" t="str">
        <f>HYPERLINK("http://plants.ensembl.org/Brachypodium_distachyon/Gene/Summary?g=Bradi1g11680","Bradi1g11680")</f>
        <v>Bradi1g11680</v>
      </c>
      <c r="I462" s="1" t="s">
        <v>1051</v>
      </c>
      <c r="J462" s="9" t="str">
        <f>HYPERLINK("http://plants.ensembl.org/Oryza_sativa/Gene/Summary?db=otherfeatures;g=LOC_Os03g52860","LOC_Os03g52860")</f>
        <v>LOC_Os03g52860</v>
      </c>
      <c r="K462" s="9" t="str">
        <f>HYPERLINK("http://plants.ensembl.org/Zea_mays/Gene/Summary?db=otherfeatures;g=GRMZM2G109130","GRMZM2G109130")</f>
        <v>GRMZM2G109130</v>
      </c>
      <c r="L462" s="6"/>
      <c r="M462" t="s">
        <v>973</v>
      </c>
      <c r="N462">
        <v>1</v>
      </c>
      <c r="O462" t="s">
        <v>973</v>
      </c>
      <c r="P462" t="s">
        <v>973</v>
      </c>
      <c r="S462" t="s">
        <v>973</v>
      </c>
      <c r="T462" s="6"/>
      <c r="U462" s="11">
        <v>11.135393760914516</v>
      </c>
      <c r="V462" s="11">
        <v>12.743808327301348</v>
      </c>
      <c r="W462" s="11">
        <v>11.024130130340867</v>
      </c>
      <c r="X462" s="11">
        <v>11.48261555095255</v>
      </c>
      <c r="Y462" s="11">
        <v>10.694638388823643</v>
      </c>
      <c r="Z462" s="11">
        <v>11.411702893233704</v>
      </c>
      <c r="AA462" s="11">
        <v>10.579486662106888</v>
      </c>
      <c r="AB462" s="11">
        <v>11.149318078303123</v>
      </c>
      <c r="AC462" s="11">
        <v>9.0072477435739717</v>
      </c>
      <c r="AD462" s="11">
        <v>9.7080741473487517</v>
      </c>
      <c r="AE462" s="11">
        <v>10.042247789814709</v>
      </c>
      <c r="AF462" s="11">
        <v>10.004530464943707</v>
      </c>
      <c r="AG462" s="11">
        <v>9.8773087790333918</v>
      </c>
      <c r="AH462" s="11">
        <v>9.6098253122258157</v>
      </c>
      <c r="AI462" s="11">
        <v>9.3680272296500426</v>
      </c>
      <c r="AJ462" s="11">
        <v>9.1442290239450994</v>
      </c>
      <c r="AK462" s="6"/>
      <c r="AL462" t="s">
        <v>1077</v>
      </c>
      <c r="AM462">
        <v>52</v>
      </c>
      <c r="AN462" s="6"/>
      <c r="AO462" s="20">
        <v>2.12</v>
      </c>
      <c r="AP462" s="20">
        <v>3.0261</v>
      </c>
      <c r="AQ462" s="20">
        <v>0.97560000000000002</v>
      </c>
      <c r="AR462" s="20">
        <v>1.4681999999999999</v>
      </c>
      <c r="AS462" s="20">
        <v>0.81179999999999997</v>
      </c>
      <c r="AT462" s="20">
        <v>1.7904</v>
      </c>
      <c r="AU462" s="20">
        <v>1.2041999999999999</v>
      </c>
      <c r="AV462" s="20">
        <v>1.9927999999999999</v>
      </c>
      <c r="AW462" s="6"/>
      <c r="AX462" s="18">
        <v>1.9650000000000001E-8</v>
      </c>
      <c r="AY462" s="18">
        <v>1.4480000000000001E-15</v>
      </c>
      <c r="AZ462" s="18">
        <v>9.4529999999999996E-3</v>
      </c>
      <c r="BA462" s="18">
        <v>9.4300000000000002E-5</v>
      </c>
      <c r="BB462" s="18">
        <v>3.082E-2</v>
      </c>
      <c r="BC462" s="18">
        <v>1.9470000000000002E-6</v>
      </c>
      <c r="BD462" s="18">
        <v>1.3760000000000001E-3</v>
      </c>
      <c r="BE462" s="18">
        <v>1.205E-7</v>
      </c>
      <c r="BF462" s="13"/>
      <c r="BG462" t="s">
        <v>1327</v>
      </c>
      <c r="BH462" t="s">
        <v>1126</v>
      </c>
      <c r="BI462" t="s">
        <v>1137</v>
      </c>
      <c r="BJ462" t="s">
        <v>1127</v>
      </c>
      <c r="BK462" t="s">
        <v>1115</v>
      </c>
      <c r="BL462" t="s">
        <v>1116</v>
      </c>
      <c r="BM462" t="s">
        <v>1117</v>
      </c>
      <c r="BN462" s="13"/>
      <c r="BO462" t="s">
        <v>973</v>
      </c>
      <c r="BP462" t="s">
        <v>973</v>
      </c>
      <c r="BQ462" t="s">
        <v>973</v>
      </c>
      <c r="BR462" t="s">
        <v>973</v>
      </c>
    </row>
    <row r="463" spans="1:70" x14ac:dyDescent="0.25">
      <c r="A463" t="s">
        <v>593</v>
      </c>
      <c r="B463" t="s">
        <v>456</v>
      </c>
      <c r="C463" s="3" t="s">
        <v>82</v>
      </c>
      <c r="D463" s="6"/>
      <c r="E463" s="9" t="str">
        <f>HYPERLINK("http://plants.ensembl.org/Triticum_aestivum/Gene/Summary?g=TRIAE_CS42_4DL_TGACv1_343233_AA1131910","TRIAE_CS42_4DL_TGACv1_343233_AA1131910")</f>
        <v>TRIAE_CS42_4DL_TGACv1_343233_AA1131910</v>
      </c>
      <c r="F463" s="9" t="str">
        <f>HYPERLINK("http://mar2016-plants.ensembl.org/Triticum_aestivum/Gene/Summary?db=core;g=Traes_4DL_2AB0556C6","Traes_4DL_2AB0556C6")</f>
        <v>Traes_4DL_2AB0556C6</v>
      </c>
      <c r="G463" t="s">
        <v>990</v>
      </c>
      <c r="H463" s="8" t="str">
        <f>HYPERLINK("http://plants.ensembl.org/Brachypodium_distachyon/Gene/Summary?g=Bradi1g72690","Bradi1g72690")</f>
        <v>Bradi1g72690</v>
      </c>
      <c r="I463" s="8" t="str">
        <f>HYPERLINK("http://plants.ensembl.org/Arabidopsis_thaliana/Gene/Summary?g=AT1G72520","AT1G72520")</f>
        <v>AT1G72520</v>
      </c>
      <c r="J463" s="9" t="str">
        <f>HYPERLINK("http://plants.ensembl.org/Oryza_sativa/Gene/Summary?db=otherfeatures;g=LOC_Os03g08220","LOC_Os03g08220")</f>
        <v>LOC_Os03g08220</v>
      </c>
      <c r="K463" s="9" t="str">
        <f>HYPERLINK("http://plants.ensembl.org/Zea_mays/Gene/Summary?db=otherfeatures;g=GRMZM2G017616","GRMZM2G017616")</f>
        <v>GRMZM2G017616</v>
      </c>
      <c r="L463" s="6"/>
      <c r="M463" t="s">
        <v>973</v>
      </c>
      <c r="N463">
        <v>1</v>
      </c>
      <c r="O463" t="s">
        <v>973</v>
      </c>
      <c r="P463" t="s">
        <v>973</v>
      </c>
      <c r="S463" t="s">
        <v>973</v>
      </c>
      <c r="T463" s="6"/>
      <c r="U463" s="11">
        <v>9.1017736707509886</v>
      </c>
      <c r="V463" s="11">
        <v>8.8035214317582415</v>
      </c>
      <c r="W463" s="11">
        <v>8.1767815214044184</v>
      </c>
      <c r="X463" s="11">
        <v>8.0743719900346544</v>
      </c>
      <c r="Y463" s="11">
        <v>8.1653529035205494</v>
      </c>
      <c r="Z463" s="11">
        <v>7.8402307389726644</v>
      </c>
      <c r="AA463" s="11">
        <v>8.2340525800826416</v>
      </c>
      <c r="AB463" s="11">
        <v>8.0738976918278205</v>
      </c>
      <c r="AC463" s="11">
        <v>6.9447261146253592</v>
      </c>
      <c r="AD463" s="11">
        <v>6.9268889643911402</v>
      </c>
      <c r="AE463" s="11">
        <v>6.9877816785108502</v>
      </c>
      <c r="AF463" s="11">
        <v>6.6976306658851925</v>
      </c>
      <c r="AG463" s="11">
        <v>6.4653421948913277</v>
      </c>
      <c r="AH463" s="11">
        <v>6.0556952981586738</v>
      </c>
      <c r="AI463" s="11">
        <v>7.0729832731303501</v>
      </c>
      <c r="AJ463" s="11">
        <v>6.7135152833991434</v>
      </c>
      <c r="AK463" s="6"/>
      <c r="AL463" t="s">
        <v>1077</v>
      </c>
      <c r="AM463">
        <v>708</v>
      </c>
      <c r="AN463" s="6"/>
      <c r="AO463" s="20">
        <v>2.1705999999999999</v>
      </c>
      <c r="AP463" s="20">
        <v>2.0171999999999999</v>
      </c>
      <c r="AQ463" s="20">
        <v>1.1892</v>
      </c>
      <c r="AR463" s="20">
        <v>1.3669</v>
      </c>
      <c r="AS463" s="20">
        <v>1.7038</v>
      </c>
      <c r="AT463" s="20">
        <v>1.7806999999999999</v>
      </c>
      <c r="AU463" s="20">
        <v>1.161</v>
      </c>
      <c r="AV463" s="20">
        <v>1.3643000000000001</v>
      </c>
      <c r="AW463" s="6"/>
      <c r="AX463" s="18">
        <v>6.3500000000000002E-20</v>
      </c>
      <c r="AY463" s="18">
        <v>1.3650000000000001E-14</v>
      </c>
      <c r="AZ463" s="18">
        <v>3.3980000000000001E-7</v>
      </c>
      <c r="BA463" s="18">
        <v>8.3690000000000004E-9</v>
      </c>
      <c r="BB463" s="18">
        <v>3.159E-13</v>
      </c>
      <c r="BC463" s="18">
        <v>3.5230000000000002E-13</v>
      </c>
      <c r="BD463" s="18">
        <v>5.4059999999999996E-7</v>
      </c>
      <c r="BE463" s="18">
        <v>7.5010000000000005E-9</v>
      </c>
      <c r="BF463" s="13"/>
      <c r="BG463" t="s">
        <v>1131</v>
      </c>
      <c r="BH463" t="s">
        <v>1112</v>
      </c>
      <c r="BI463" t="s">
        <v>1113</v>
      </c>
      <c r="BJ463" t="s">
        <v>1114</v>
      </c>
      <c r="BK463" t="s">
        <v>1115</v>
      </c>
      <c r="BL463" t="s">
        <v>1116</v>
      </c>
      <c r="BM463" t="s">
        <v>1117</v>
      </c>
      <c r="BN463" s="13"/>
      <c r="BO463" t="s">
        <v>973</v>
      </c>
      <c r="BP463" t="s">
        <v>973</v>
      </c>
      <c r="BQ463" t="s">
        <v>973</v>
      </c>
      <c r="BR463" t="s">
        <v>973</v>
      </c>
    </row>
    <row r="464" spans="1:70" x14ac:dyDescent="0.25">
      <c r="A464" t="s">
        <v>698</v>
      </c>
      <c r="B464" t="s">
        <v>699</v>
      </c>
      <c r="C464" s="3" t="s">
        <v>82</v>
      </c>
      <c r="D464" s="6"/>
      <c r="E464" s="9" t="str">
        <f>HYPERLINK("http://plants.ensembl.org/Triticum_aestivum/Gene/Summary?g=TRIAE_CS42_5BL_TGACv1_404130_AA1285700","TRIAE_CS42_5BL_TGACv1_404130_AA1285700")</f>
        <v>TRIAE_CS42_5BL_TGACv1_404130_AA1285700</v>
      </c>
      <c r="F464" s="9" t="str">
        <f>HYPERLINK("http://mar2016-plants.ensembl.org/Triticum_aestivum/Gene/Summary?db=core;g=Traes_5BL_B01A5A4F1","Traes_5BL_B01A5A4F1")</f>
        <v>Traes_5BL_B01A5A4F1</v>
      </c>
      <c r="G464" t="s">
        <v>1021</v>
      </c>
      <c r="H464" s="1" t="s">
        <v>1051</v>
      </c>
      <c r="I464" s="1" t="s">
        <v>1051</v>
      </c>
      <c r="J464" s="9" t="str">
        <f>HYPERLINK("http://plants.ensembl.org/Oryza_sativa/Gene/Summary?g=OS03G0738600","OS03G0738600")</f>
        <v>OS03G0738600</v>
      </c>
      <c r="K464" s="9" t="str">
        <f>HYPERLINK("http://plants.ensembl.org/Zea_mays/Gene/Summary?db=otherfeatures;g=GRMZM2G156861","GRMZM2G156861")</f>
        <v>GRMZM2G156861</v>
      </c>
      <c r="L464" s="6"/>
      <c r="M464" t="s">
        <v>973</v>
      </c>
      <c r="N464">
        <v>1</v>
      </c>
      <c r="O464" t="s">
        <v>973</v>
      </c>
      <c r="P464" t="s">
        <v>973</v>
      </c>
      <c r="S464" t="s">
        <v>973</v>
      </c>
      <c r="T464" s="6"/>
      <c r="U464" s="11">
        <v>6.03511139806049</v>
      </c>
      <c r="V464" s="11">
        <v>7.9306441112237325</v>
      </c>
      <c r="W464" s="11">
        <v>2.9732010301911909</v>
      </c>
      <c r="X464" s="11">
        <v>2.4338229846812953</v>
      </c>
      <c r="Y464" s="11">
        <v>3.8983728355242513</v>
      </c>
      <c r="Z464" s="11">
        <v>3.0043335923994761</v>
      </c>
      <c r="AA464" s="11">
        <v>2.5935370346005864</v>
      </c>
      <c r="AB464" s="11">
        <v>4.0481751418971603</v>
      </c>
      <c r="AC464" s="11">
        <v>4.9821432935825607</v>
      </c>
      <c r="AD464" s="11">
        <v>5.5910979217424215</v>
      </c>
      <c r="AE464" s="11">
        <v>2.3572423197638903</v>
      </c>
      <c r="AF464" s="11">
        <v>2.429383864659969</v>
      </c>
      <c r="AG464" s="11">
        <v>0.71002576697029007</v>
      </c>
      <c r="AH464" s="11">
        <v>3.215326550562601</v>
      </c>
      <c r="AI464" s="11">
        <v>1.9619196151988836</v>
      </c>
      <c r="AJ464" s="11">
        <v>2.7890266836163997</v>
      </c>
      <c r="AK464" s="6"/>
      <c r="AL464" t="s">
        <v>1109</v>
      </c>
      <c r="AM464">
        <v>0</v>
      </c>
      <c r="AN464" s="6"/>
      <c r="AO464" s="20">
        <v>1.0911</v>
      </c>
      <c r="AP464" s="20">
        <v>2.2713999999999999</v>
      </c>
      <c r="AQ464" s="20">
        <v>0.72319999999999995</v>
      </c>
      <c r="AR464" s="20">
        <v>8.6800000000000002E-2</v>
      </c>
      <c r="AS464" s="20">
        <v>4.3312999999999997</v>
      </c>
      <c r="AT464" s="20">
        <v>-0.2767</v>
      </c>
      <c r="AU464" s="20">
        <v>0.78180000000000005</v>
      </c>
      <c r="AV464" s="20">
        <v>1.3555999999999999</v>
      </c>
      <c r="AW464" s="6"/>
      <c r="AX464" s="18">
        <v>9.5630000000000007E-2</v>
      </c>
      <c r="AY464" s="18">
        <v>5.8969999999999997E-4</v>
      </c>
      <c r="AZ464" s="18">
        <v>0.3392</v>
      </c>
      <c r="BA464" s="18">
        <v>0.91279999999999994</v>
      </c>
      <c r="BB464" s="18">
        <v>3.6399999999999999E-6</v>
      </c>
      <c r="BC464" s="18">
        <v>0.70099999999999996</v>
      </c>
      <c r="BD464" s="18">
        <v>0.32190000000000002</v>
      </c>
      <c r="BE464" s="18">
        <v>5.6529999999999997E-2</v>
      </c>
      <c r="BF464" s="13"/>
      <c r="BG464" t="s">
        <v>1125</v>
      </c>
      <c r="BH464" t="s">
        <v>1126</v>
      </c>
      <c r="BI464" t="s">
        <v>1113</v>
      </c>
      <c r="BJ464" t="s">
        <v>1127</v>
      </c>
      <c r="BK464" t="s">
        <v>1115</v>
      </c>
      <c r="BL464" t="s">
        <v>1116</v>
      </c>
      <c r="BM464" t="s">
        <v>1117</v>
      </c>
      <c r="BN464" s="13"/>
      <c r="BO464" t="s">
        <v>973</v>
      </c>
      <c r="BP464">
        <v>1</v>
      </c>
      <c r="BQ464" t="s">
        <v>973</v>
      </c>
      <c r="BR464" t="s">
        <v>973</v>
      </c>
    </row>
    <row r="465" spans="1:70" x14ac:dyDescent="0.25">
      <c r="A465" t="s">
        <v>127</v>
      </c>
      <c r="B465" t="s">
        <v>128</v>
      </c>
      <c r="C465" t="s">
        <v>129</v>
      </c>
      <c r="D465" s="6"/>
      <c r="E465" s="9" t="str">
        <f>HYPERLINK("http://plants.ensembl.org/Triticum_aestivum/Gene/Summary?g=TRIAE_CS42_2AS_TGACv1_114053_AA0363680","TRIAE_CS42_2AS_TGACv1_114053_AA0363680")</f>
        <v>TRIAE_CS42_2AS_TGACv1_114053_AA0363680</v>
      </c>
      <c r="F465" s="9" t="str">
        <f>HYPERLINK("http://mar2016-plants.ensembl.org/Triticum_aestivum/Gene/Summary?db=core;g=Traes_2AS_4133C82FB","Traes_2AS_4133C82FB")</f>
        <v>Traes_2AS_4133C82FB</v>
      </c>
      <c r="G465" t="s">
        <v>981</v>
      </c>
      <c r="H465" s="8" t="str">
        <f>HYPERLINK("http://plants.ensembl.org/Brachypodium_distachyon/Gene/Summary?g=Bradi3g44320","Bradi3g44320")</f>
        <v>Bradi3g44320</v>
      </c>
      <c r="I465" s="8" t="str">
        <f>HYPERLINK("http://plants.ensembl.org/Arabidopsis_thaliana/Gene/Summary?g=AT5G13190","AT5G13190")</f>
        <v>AT5G13190</v>
      </c>
      <c r="J465" s="9" t="str">
        <f>HYPERLINK("http://plants.ensembl.org/Oryza_sativa/Gene/Summary?db=otherfeatures;g=LOC_Os02g31100","LOC_Os02g31100")</f>
        <v>LOC_Os02g31100</v>
      </c>
      <c r="K465" s="9" t="str">
        <f>HYPERLINK("http://plants.ensembl.org/Zea_mays/Gene/Summary?db=otherfeatures;g=GRMZM2G010235","GRMZM2G010235")</f>
        <v>GRMZM2G010235</v>
      </c>
      <c r="L465" s="6"/>
      <c r="M465">
        <v>1</v>
      </c>
      <c r="N465">
        <v>1</v>
      </c>
      <c r="O465" t="s">
        <v>973</v>
      </c>
      <c r="P465" t="s">
        <v>973</v>
      </c>
      <c r="S465" t="s">
        <v>973</v>
      </c>
      <c r="T465" s="6"/>
      <c r="U465" s="11">
        <v>6.7108000064040256</v>
      </c>
      <c r="V465" s="11">
        <v>7.5032530506104393</v>
      </c>
      <c r="W465" s="11">
        <v>4.7613047786936873</v>
      </c>
      <c r="X465" s="11">
        <v>4.7583795815117398</v>
      </c>
      <c r="Y465" s="11">
        <v>6.120432124728767</v>
      </c>
      <c r="Z465" s="11">
        <v>5.9402638667498797</v>
      </c>
      <c r="AA465" s="11">
        <v>6.0556367381425131</v>
      </c>
      <c r="AB465" s="11">
        <v>5.6615586489480023</v>
      </c>
      <c r="AC465" s="11">
        <v>5.7141420063086104</v>
      </c>
      <c r="AD465" s="11">
        <v>4.4422844593336297</v>
      </c>
      <c r="AE465" s="11">
        <v>3.9218076208455632</v>
      </c>
      <c r="AF465" s="11">
        <v>3.6543400607269727</v>
      </c>
      <c r="AG465" s="11">
        <v>4.7499543221681471</v>
      </c>
      <c r="AH465" s="11">
        <v>4.4017328495226211</v>
      </c>
      <c r="AI465" s="11">
        <v>5.1955050891843255</v>
      </c>
      <c r="AJ465" s="11">
        <v>5.1741520441331703</v>
      </c>
      <c r="AK465" s="6"/>
      <c r="AL465" t="s">
        <v>1077</v>
      </c>
      <c r="AM465">
        <v>0</v>
      </c>
      <c r="AN465" s="6"/>
      <c r="AO465" s="20">
        <v>1.0305</v>
      </c>
      <c r="AP465" s="20">
        <v>2.9464000000000001</v>
      </c>
      <c r="AQ465" s="20">
        <v>0.87649999999999995</v>
      </c>
      <c r="AR465" s="20">
        <v>1.0787</v>
      </c>
      <c r="AS465" s="20">
        <v>1.397</v>
      </c>
      <c r="AT465" s="20">
        <v>1.5545</v>
      </c>
      <c r="AU465" s="20">
        <v>0.86470000000000002</v>
      </c>
      <c r="AV465" s="20">
        <v>0.49020000000000002</v>
      </c>
      <c r="AW465" s="6"/>
      <c r="AX465" s="18">
        <v>1.3550000000000001E-3</v>
      </c>
      <c r="AY465" s="18">
        <v>1.489E-14</v>
      </c>
      <c r="AZ465" s="18">
        <v>1.686E-2</v>
      </c>
      <c r="BA465" s="18">
        <v>4.7720000000000002E-3</v>
      </c>
      <c r="BB465" s="18">
        <v>1.025E-5</v>
      </c>
      <c r="BC465" s="18">
        <v>4.9119999999999997E-6</v>
      </c>
      <c r="BD465" s="18">
        <v>5.8739999999999999E-3</v>
      </c>
      <c r="BE465" s="18">
        <v>0.1303</v>
      </c>
      <c r="BF465" s="13"/>
      <c r="BG465" t="s">
        <v>1191</v>
      </c>
      <c r="BH465" t="s">
        <v>1211</v>
      </c>
      <c r="BI465" t="s">
        <v>1113</v>
      </c>
      <c r="BJ465" t="s">
        <v>1114</v>
      </c>
      <c r="BK465" t="s">
        <v>1115</v>
      </c>
      <c r="BL465" t="s">
        <v>1116</v>
      </c>
      <c r="BM465" t="s">
        <v>1117</v>
      </c>
      <c r="BN465" s="13"/>
      <c r="BO465" t="s">
        <v>973</v>
      </c>
      <c r="BP465" t="s">
        <v>973</v>
      </c>
      <c r="BQ465" t="s">
        <v>973</v>
      </c>
      <c r="BR465" t="s">
        <v>973</v>
      </c>
    </row>
    <row r="466" spans="1:70" x14ac:dyDescent="0.25">
      <c r="A466" t="s">
        <v>251</v>
      </c>
      <c r="B466" t="s">
        <v>128</v>
      </c>
      <c r="C466" t="s">
        <v>129</v>
      </c>
      <c r="D466" s="6"/>
      <c r="E466" s="9" t="str">
        <f>HYPERLINK("http://plants.ensembl.org/Triticum_aestivum/Gene/Summary?g=TRIAE_CS42_2DS_TGACv1_177370_AA0574790","TRIAE_CS42_2DS_TGACv1_177370_AA0574790")</f>
        <v>TRIAE_CS42_2DS_TGACv1_177370_AA0574790</v>
      </c>
      <c r="F466" s="9" t="str">
        <f>HYPERLINK("http://mar2016-plants.ensembl.org/Triticum_aestivum/Gene/Summary?db=core;g=Traes_2DS_FD31C0778","Traes_2DS_FD31C0778")</f>
        <v>Traes_2DS_FD31C0778</v>
      </c>
      <c r="G466" t="s">
        <v>981</v>
      </c>
      <c r="H466" s="8" t="str">
        <f>HYPERLINK("http://plants.ensembl.org/Brachypodium_distachyon/Gene/Summary?g=Bradi3g44320","Bradi3g44320")</f>
        <v>Bradi3g44320</v>
      </c>
      <c r="I466" s="8" t="str">
        <f>HYPERLINK("http://plants.ensembl.org/Arabidopsis_thaliana/Gene/Summary?g=AT5G13190","AT5G13190")</f>
        <v>AT5G13190</v>
      </c>
      <c r="J466" s="9" t="str">
        <f>HYPERLINK("http://plants.ensembl.org/Oryza_sativa/Gene/Summary?db=otherfeatures;g=LOC_Os02g31100","LOC_Os02g31100")</f>
        <v>LOC_Os02g31100</v>
      </c>
      <c r="K466" s="9" t="str">
        <f>HYPERLINK("http://plants.ensembl.org/Zea_mays/Gene/Summary?db=otherfeatures;g=GRMZM2G010235","GRMZM2G010235")</f>
        <v>GRMZM2G010235</v>
      </c>
      <c r="L466" s="6"/>
      <c r="M466">
        <v>1</v>
      </c>
      <c r="N466">
        <v>1</v>
      </c>
      <c r="O466" t="s">
        <v>973</v>
      </c>
      <c r="P466" t="s">
        <v>973</v>
      </c>
      <c r="S466" t="s">
        <v>973</v>
      </c>
      <c r="T466" s="6"/>
      <c r="U466" s="11">
        <v>7.5850053300944378</v>
      </c>
      <c r="V466" s="11">
        <v>8.6965933040258605</v>
      </c>
      <c r="W466" s="11">
        <v>7.3220991042263348</v>
      </c>
      <c r="X466" s="11">
        <v>7.6187863175638553</v>
      </c>
      <c r="Y466" s="11">
        <v>7.6971538478267707</v>
      </c>
      <c r="Z466" s="11">
        <v>7.4427201648485202</v>
      </c>
      <c r="AA466" s="11">
        <v>7.2478569588688018</v>
      </c>
      <c r="AB466" s="11">
        <v>7.1634826306858734</v>
      </c>
      <c r="AC466" s="11">
        <v>5.7512833908690544</v>
      </c>
      <c r="AD466" s="11">
        <v>5.2833464557892125</v>
      </c>
      <c r="AE466" s="11">
        <v>5.7748722573405447</v>
      </c>
      <c r="AF466" s="11">
        <v>5.3721662464176507</v>
      </c>
      <c r="AG466" s="11">
        <v>5.2179622201588618</v>
      </c>
      <c r="AH466" s="11">
        <v>5.0771347357638597</v>
      </c>
      <c r="AI466" s="11">
        <v>5.8211693580985253</v>
      </c>
      <c r="AJ466" s="11">
        <v>5.3798704457744559</v>
      </c>
      <c r="AK466" s="6"/>
      <c r="AL466" t="s">
        <v>1077</v>
      </c>
      <c r="AM466">
        <v>2978</v>
      </c>
      <c r="AN466" s="6"/>
      <c r="AO466" s="20">
        <v>1.8786</v>
      </c>
      <c r="AP466" s="20">
        <v>3.2269999999999999</v>
      </c>
      <c r="AQ466" s="20">
        <v>1.5552999999999999</v>
      </c>
      <c r="AR466" s="20">
        <v>2.2347000000000001</v>
      </c>
      <c r="AS466" s="20">
        <v>2.4841000000000002</v>
      </c>
      <c r="AT466" s="20">
        <v>2.3877000000000002</v>
      </c>
      <c r="AU466" s="20">
        <v>1.4342999999999999</v>
      </c>
      <c r="AV466" s="20">
        <v>1.7930999999999999</v>
      </c>
      <c r="AW466" s="6"/>
      <c r="AX466" s="18">
        <v>7.7570000000000004E-7</v>
      </c>
      <c r="AY466" s="18">
        <v>2.4959999999999999E-15</v>
      </c>
      <c r="AZ466" s="18">
        <v>2.745E-5</v>
      </c>
      <c r="BA466" s="18">
        <v>2.9680000000000001E-9</v>
      </c>
      <c r="BB466" s="18">
        <v>2.0309999999999999E-11</v>
      </c>
      <c r="BC466" s="18">
        <v>4.0649999999999999E-10</v>
      </c>
      <c r="BD466" s="18">
        <v>1.0399999999999999E-4</v>
      </c>
      <c r="BE466" s="18">
        <v>1.871E-6</v>
      </c>
      <c r="BF466" s="13"/>
      <c r="BG466" t="s">
        <v>1131</v>
      </c>
      <c r="BH466" t="s">
        <v>1126</v>
      </c>
      <c r="BI466" t="s">
        <v>1113</v>
      </c>
      <c r="BJ466" t="s">
        <v>1127</v>
      </c>
      <c r="BK466" t="s">
        <v>1115</v>
      </c>
      <c r="BL466" t="s">
        <v>1116</v>
      </c>
      <c r="BM466" t="s">
        <v>1117</v>
      </c>
      <c r="BN466" s="13"/>
      <c r="BO466" t="s">
        <v>973</v>
      </c>
      <c r="BP466" t="s">
        <v>973</v>
      </c>
      <c r="BQ466" t="s">
        <v>973</v>
      </c>
      <c r="BR466" t="s">
        <v>973</v>
      </c>
    </row>
    <row r="467" spans="1:70" x14ac:dyDescent="0.25">
      <c r="A467" t="s">
        <v>702</v>
      </c>
      <c r="B467" t="s">
        <v>703</v>
      </c>
      <c r="C467" t="s">
        <v>704</v>
      </c>
      <c r="D467" s="6"/>
      <c r="E467" s="9" t="str">
        <f>HYPERLINK("http://plants.ensembl.org/Triticum_aestivum/Gene/Summary?g=TRIAE_CS42_5BL_TGACv1_405849_AA1336400","TRIAE_CS42_5BL_TGACv1_405849_AA1336400")</f>
        <v>TRIAE_CS42_5BL_TGACv1_405849_AA1336400</v>
      </c>
      <c r="F467" s="9" t="str">
        <f>HYPERLINK("http://mar2016-plants.ensembl.org/Triticum_aestivum/Gene/Summary?db=core;g=Traes_5BL_B24126570","Traes_5BL_B24126570")</f>
        <v>Traes_5BL_B24126570</v>
      </c>
      <c r="H467" s="8" t="str">
        <f>HYPERLINK("http://plants.ensembl.org/Brachypodium_distachyon/Gene/Summary?g=Bradi1g08627","Bradi1g08627")</f>
        <v>Bradi1g08627</v>
      </c>
      <c r="I467" s="8" t="str">
        <f>HYPERLINK("http://plants.ensembl.org/Arabidopsis_thaliana/Gene/Summary?g=AT5G37480","AT5G37480")</f>
        <v>AT5G37480</v>
      </c>
      <c r="J467" s="9" t="str">
        <f>HYPERLINK("http://plants.ensembl.org/Oryza_sativa/Gene/Summary?db=otherfeatures;g=LOC_Os03g53740","LOC_Os03g53740")</f>
        <v>LOC_Os03g53740</v>
      </c>
      <c r="K467" s="9" t="str">
        <f>HYPERLINK("http://plants.ensembl.org/Zea_mays/Gene/Summary?db=otherfeatures;g=GRMZM2G010037","GRMZM2G010037")</f>
        <v>GRMZM2G010037</v>
      </c>
      <c r="L467" s="6"/>
      <c r="M467">
        <v>1</v>
      </c>
      <c r="N467" t="s">
        <v>973</v>
      </c>
      <c r="O467" t="s">
        <v>973</v>
      </c>
      <c r="P467" t="s">
        <v>973</v>
      </c>
      <c r="S467" t="s">
        <v>973</v>
      </c>
      <c r="T467" s="6"/>
      <c r="U467" s="11">
        <v>6.8818256982237429</v>
      </c>
      <c r="V467" s="11">
        <v>7.8420167143529413</v>
      </c>
      <c r="W467" s="11">
        <v>5.6262707150975686</v>
      </c>
      <c r="X467" s="11">
        <v>6.0077284883268902</v>
      </c>
      <c r="Y467" s="11">
        <v>6.3376492542203415</v>
      </c>
      <c r="Z467" s="11">
        <v>5.7390109671618417</v>
      </c>
      <c r="AA467" s="11">
        <v>6.0022239426553377</v>
      </c>
      <c r="AB467" s="11">
        <v>5.0320846759559714</v>
      </c>
      <c r="AC467" s="11">
        <v>4.5252107039991678</v>
      </c>
      <c r="AD467" s="11">
        <v>5.6934683719362509</v>
      </c>
      <c r="AE467" s="11">
        <v>5.1948120007554923</v>
      </c>
      <c r="AF467" s="11">
        <v>4.4909145049725012</v>
      </c>
      <c r="AG467" s="11">
        <v>4.6604761164074455</v>
      </c>
      <c r="AH467" s="11">
        <v>4.8306322445948018</v>
      </c>
      <c r="AI467" s="11">
        <v>4.3911215513868589</v>
      </c>
      <c r="AJ467" s="11">
        <v>4.2035613934869192</v>
      </c>
      <c r="AK467" s="6"/>
      <c r="AL467" t="s">
        <v>1077</v>
      </c>
      <c r="AM467">
        <v>1</v>
      </c>
      <c r="AN467" s="6"/>
      <c r="AO467" s="20">
        <v>2.4188000000000001</v>
      </c>
      <c r="AP467" s="20">
        <v>2.2885</v>
      </c>
      <c r="AQ467" s="20">
        <v>0.44290000000000002</v>
      </c>
      <c r="AR467" s="20">
        <v>1.4862</v>
      </c>
      <c r="AS467" s="20">
        <v>1.7150000000000001</v>
      </c>
      <c r="AT467" s="20">
        <v>0.91700000000000004</v>
      </c>
      <c r="AU467" s="20">
        <v>1.659</v>
      </c>
      <c r="AV467" s="20">
        <v>0.85040000000000004</v>
      </c>
      <c r="AW467" s="6"/>
      <c r="AX467" s="18">
        <v>2.535E-10</v>
      </c>
      <c r="AY467" s="18">
        <v>3.046E-9</v>
      </c>
      <c r="AZ467" s="18">
        <v>0.21920000000000001</v>
      </c>
      <c r="BA467" s="18">
        <v>6.9560000000000005E-5</v>
      </c>
      <c r="BB467" s="18">
        <v>1.494E-6</v>
      </c>
      <c r="BC467" s="18">
        <v>1.2930000000000001E-2</v>
      </c>
      <c r="BD467" s="18">
        <v>7.5920000000000003E-6</v>
      </c>
      <c r="BE467" s="18">
        <v>3.0210000000000001E-2</v>
      </c>
      <c r="BF467" s="13"/>
      <c r="BG467" t="s">
        <v>1191</v>
      </c>
      <c r="BH467" t="s">
        <v>1211</v>
      </c>
      <c r="BI467" t="s">
        <v>1113</v>
      </c>
      <c r="BJ467" t="s">
        <v>1114</v>
      </c>
      <c r="BK467" t="s">
        <v>1115</v>
      </c>
      <c r="BL467" t="s">
        <v>1116</v>
      </c>
      <c r="BM467" t="s">
        <v>1117</v>
      </c>
      <c r="BN467" s="13"/>
      <c r="BO467" t="s">
        <v>973</v>
      </c>
      <c r="BP467" t="s">
        <v>973</v>
      </c>
      <c r="BQ467" t="s">
        <v>973</v>
      </c>
      <c r="BR467" t="s">
        <v>973</v>
      </c>
    </row>
    <row r="468" spans="1:70" x14ac:dyDescent="0.25">
      <c r="A468" t="s">
        <v>589</v>
      </c>
      <c r="B468" t="s">
        <v>590</v>
      </c>
      <c r="C468" t="s">
        <v>591</v>
      </c>
      <c r="D468" s="6"/>
      <c r="E468" s="9" t="str">
        <f>HYPERLINK("http://plants.ensembl.org/Triticum_aestivum/Gene/Summary?g=TRIAE_CS42_4DL_TGACv1_343034_AA1127970","TRIAE_CS42_4DL_TGACv1_343034_AA1127970")</f>
        <v>TRIAE_CS42_4DL_TGACv1_343034_AA1127970</v>
      </c>
      <c r="F468" s="9" t="str">
        <f>HYPERLINK("http://mar2016-plants.ensembl.org/Triticum_aestivum/Gene/Summary?db=core;g=Traes_4DL_037B0E131","Traes_4DL_037B0E131")</f>
        <v>Traes_4DL_037B0E131</v>
      </c>
      <c r="H468" s="8" t="str">
        <f>HYPERLINK("http://plants.ensembl.org/Brachypodium_distachyon/Gene/Summary?g=Bradi1g74770","Bradi1g74770")</f>
        <v>Bradi1g74770</v>
      </c>
      <c r="I468" s="1" t="s">
        <v>1051</v>
      </c>
      <c r="J468" s="9" t="str">
        <f>HYPERLINK("http://plants.ensembl.org/Oryza_sativa/Gene/Summary?db=otherfeatures;g=LOC_Os03g05910","LOC_Os03g05910")</f>
        <v>LOC_Os03g05910</v>
      </c>
      <c r="L468" s="6"/>
      <c r="M468" s="1" t="s">
        <v>973</v>
      </c>
      <c r="N468" s="1" t="s">
        <v>973</v>
      </c>
      <c r="O468" s="1">
        <v>1</v>
      </c>
      <c r="P468" s="1" t="s">
        <v>973</v>
      </c>
      <c r="Q468" s="1" t="s">
        <v>973</v>
      </c>
      <c r="R468" s="1" t="s">
        <v>973</v>
      </c>
      <c r="S468" s="1"/>
      <c r="T468" s="6"/>
      <c r="U468" s="11">
        <v>9.7902836514068454</v>
      </c>
      <c r="V468" s="11">
        <v>10.096468360064687</v>
      </c>
      <c r="W468" s="11">
        <v>7.1184895111677173</v>
      </c>
      <c r="X468" s="11">
        <v>6.9918600414195309</v>
      </c>
      <c r="Y468" s="11">
        <v>7.9252399054874108</v>
      </c>
      <c r="Z468" s="11">
        <v>6.6218989979792928</v>
      </c>
      <c r="AA468" s="11">
        <v>7.6365794298907188</v>
      </c>
      <c r="AB468" s="11">
        <v>6.7261495714913178</v>
      </c>
      <c r="AC468" s="11">
        <v>1.9698964472963327</v>
      </c>
      <c r="AD468" s="11">
        <v>0</v>
      </c>
      <c r="AE468" s="11">
        <v>0.38508125054108833</v>
      </c>
      <c r="AF468" s="11">
        <v>0.25801633106716926</v>
      </c>
      <c r="AG468" s="11">
        <v>0.63592461073886131</v>
      </c>
      <c r="AH468" s="11">
        <v>0.41243830823088656</v>
      </c>
      <c r="AI468" s="11">
        <v>0.60915607847725739</v>
      </c>
      <c r="AJ468" s="11">
        <v>0</v>
      </c>
      <c r="AK468" s="6"/>
      <c r="AL468" t="s">
        <v>1077</v>
      </c>
      <c r="AM468" s="12">
        <v>3108</v>
      </c>
      <c r="AN468" s="6"/>
      <c r="AO468" s="20">
        <v>8.2872000000000003</v>
      </c>
      <c r="AP468" s="20">
        <v>10.7377</v>
      </c>
      <c r="AQ468" s="20">
        <v>8.1044</v>
      </c>
      <c r="AR468" s="20">
        <v>7.9611999999999998</v>
      </c>
      <c r="AS468" s="20">
        <v>8.4186999999999994</v>
      </c>
      <c r="AT468" s="20">
        <v>7.4710999999999999</v>
      </c>
      <c r="AU468" s="20">
        <v>8.0539000000000005</v>
      </c>
      <c r="AV468" s="20">
        <v>8.6036999999999999</v>
      </c>
      <c r="AW468" s="6"/>
      <c r="AX468" s="18">
        <v>2.6749999999999999E-26</v>
      </c>
      <c r="AY468" s="18">
        <v>5.5839999999999998E-21</v>
      </c>
      <c r="AZ468" s="18">
        <v>7.0579999999999998E-13</v>
      </c>
      <c r="BA468" s="18">
        <v>7.8190000000000003E-13</v>
      </c>
      <c r="BB468" s="18">
        <v>7.8990000000000005E-20</v>
      </c>
      <c r="BC468" s="18">
        <v>4.6779999999999999E-11</v>
      </c>
      <c r="BD468" s="18">
        <v>1.1080000000000001E-15</v>
      </c>
      <c r="BE468" s="18">
        <v>4.14E-13</v>
      </c>
      <c r="BF468" s="13"/>
      <c r="BG468" t="s">
        <v>1270</v>
      </c>
      <c r="BH468" t="s">
        <v>1132</v>
      </c>
      <c r="BI468" t="s">
        <v>1113</v>
      </c>
      <c r="BJ468" t="s">
        <v>1114</v>
      </c>
      <c r="BK468" t="s">
        <v>1115</v>
      </c>
      <c r="BL468" t="s">
        <v>1116</v>
      </c>
      <c r="BM468" t="s">
        <v>1117</v>
      </c>
      <c r="BN468" s="13"/>
      <c r="BO468" t="s">
        <v>973</v>
      </c>
      <c r="BP468" t="s">
        <v>973</v>
      </c>
      <c r="BQ468" t="s">
        <v>973</v>
      </c>
      <c r="BR468" t="s">
        <v>973</v>
      </c>
    </row>
    <row r="469" spans="1:70" x14ac:dyDescent="0.25">
      <c r="A469" t="s">
        <v>632</v>
      </c>
      <c r="B469" t="s">
        <v>473</v>
      </c>
      <c r="C469" t="s">
        <v>19</v>
      </c>
      <c r="D469" s="6"/>
      <c r="E469" s="9" t="str">
        <f>HYPERLINK("http://plants.ensembl.org/Triticum_aestivum/Gene/Summary?g=TRIAE_CS42_5AL_TGACv1_373983_AA1186440","TRIAE_CS42_5AL_TGACv1_373983_AA1186440")</f>
        <v>TRIAE_CS42_5AL_TGACv1_373983_AA1186440</v>
      </c>
      <c r="F469" s="9" t="str">
        <f>HYPERLINK("http://mar2016-plants.ensembl.org/Triticum_aestivum/Gene/Summary?db=core;g=Traes_5AL_A041A47C4","Traes_5AL_A041A47C4")</f>
        <v>Traes_5AL_A041A47C4</v>
      </c>
      <c r="G469" t="s">
        <v>1050</v>
      </c>
      <c r="H469" s="8" t="str">
        <f>HYPERLINK("http://plants.ensembl.org/Brachypodium_distachyon/Gene/Summary?g=Bradi4g32020","Bradi4g32020")</f>
        <v>Bradi4g32020</v>
      </c>
      <c r="I469" s="1" t="s">
        <v>1051</v>
      </c>
      <c r="J469" s="9" t="str">
        <f>HYPERLINK("http://plants.ensembl.org/Oryza_sativa/Gene/Summary?db=otherfeatures;g=LOC_Os09g28160","LOC_Os09g28160")</f>
        <v>LOC_Os09g28160</v>
      </c>
      <c r="K469" s="9" t="str">
        <f>HYPERLINK("http://plants.ensembl.org/Zea_mays/Gene/Summary?db=otherfeatures;g=GRMZM2G009045","GRMZM2G009045")</f>
        <v>GRMZM2G009045</v>
      </c>
      <c r="L469" s="6"/>
      <c r="M469" t="s">
        <v>973</v>
      </c>
      <c r="N469" t="s">
        <v>973</v>
      </c>
      <c r="O469">
        <v>1</v>
      </c>
      <c r="P469" t="s">
        <v>973</v>
      </c>
      <c r="S469" t="s">
        <v>973</v>
      </c>
      <c r="T469" s="6"/>
      <c r="U469" s="11">
        <v>12.58815288223947</v>
      </c>
      <c r="V469" s="11">
        <v>13.099271613182328</v>
      </c>
      <c r="W469" s="11">
        <v>10.545028905203299</v>
      </c>
      <c r="X469" s="11">
        <v>11.268219818966125</v>
      </c>
      <c r="Y469" s="11">
        <v>10.973121297221423</v>
      </c>
      <c r="Z469" s="11">
        <v>10.645090458321654</v>
      </c>
      <c r="AA469" s="11">
        <v>10.11880652735298</v>
      </c>
      <c r="AB469" s="11">
        <v>10.659456727830156</v>
      </c>
      <c r="AC469" s="11">
        <v>5.5482054050399832</v>
      </c>
      <c r="AD469" s="11">
        <v>5.0688169642611092</v>
      </c>
      <c r="AE469" s="11">
        <v>5.4015747217080987</v>
      </c>
      <c r="AF469" s="11">
        <v>5.0746467190239564</v>
      </c>
      <c r="AG469" s="11">
        <v>4.4861394112094715</v>
      </c>
      <c r="AH469" s="11">
        <v>3.7421930949804487</v>
      </c>
      <c r="AI469" s="11">
        <v>5.2589183617675896</v>
      </c>
      <c r="AJ469" s="11">
        <v>4.7499757684778494</v>
      </c>
      <c r="AK469" s="6"/>
      <c r="AL469" t="s">
        <v>1077</v>
      </c>
      <c r="AM469" s="12">
        <v>4539</v>
      </c>
      <c r="AN469" s="6"/>
      <c r="AO469" s="20">
        <v>7.0194000000000001</v>
      </c>
      <c r="AP469" s="20">
        <v>7.9779</v>
      </c>
      <c r="AQ469" s="20">
        <v>5.1170999999999998</v>
      </c>
      <c r="AR469" s="20">
        <v>6.1463000000000001</v>
      </c>
      <c r="AS469" s="20">
        <v>6.4673999999999996</v>
      </c>
      <c r="AT469" s="20">
        <v>6.9070999999999998</v>
      </c>
      <c r="AU469" s="20">
        <v>4.8371000000000004</v>
      </c>
      <c r="AV469" s="20">
        <v>5.8883999999999999</v>
      </c>
      <c r="AW469" s="6"/>
      <c r="AX469" s="18">
        <v>1.394E-46</v>
      </c>
      <c r="AY469" s="18">
        <v>1.186E-52</v>
      </c>
      <c r="AZ469" s="18">
        <v>1.223E-25</v>
      </c>
      <c r="BA469" s="18">
        <v>1.4299999999999999E-35</v>
      </c>
      <c r="BB469" s="18">
        <v>2.2200000000000002E-39</v>
      </c>
      <c r="BC469" s="18">
        <v>4.7439999999999997E-40</v>
      </c>
      <c r="BD469" s="18">
        <v>5.2340000000000002E-23</v>
      </c>
      <c r="BE469" s="18">
        <v>1.411E-32</v>
      </c>
      <c r="BF469" s="13"/>
      <c r="BG469" t="s">
        <v>1131</v>
      </c>
      <c r="BH469" t="s">
        <v>1132</v>
      </c>
      <c r="BI469" t="s">
        <v>1113</v>
      </c>
      <c r="BJ469" t="s">
        <v>1114</v>
      </c>
      <c r="BK469" t="s">
        <v>1115</v>
      </c>
      <c r="BL469" t="s">
        <v>1116</v>
      </c>
      <c r="BM469" t="s">
        <v>1117</v>
      </c>
      <c r="BN469" s="13"/>
      <c r="BO469" t="s">
        <v>973</v>
      </c>
      <c r="BP469" t="s">
        <v>973</v>
      </c>
      <c r="BQ469" t="s">
        <v>973</v>
      </c>
      <c r="BR469" t="s">
        <v>973</v>
      </c>
    </row>
    <row r="470" spans="1:70" x14ac:dyDescent="0.25">
      <c r="A470" t="s">
        <v>688</v>
      </c>
      <c r="B470" t="s">
        <v>473</v>
      </c>
      <c r="C470" t="s">
        <v>19</v>
      </c>
      <c r="D470" s="6"/>
      <c r="E470" s="9" t="str">
        <f>HYPERLINK("http://plants.ensembl.org/Triticum_aestivum/Gene/Summary?g=TRIAE_CS42_5BL_TGACv1_404669_AA1307890","TRIAE_CS42_5BL_TGACv1_404669_AA1307890")</f>
        <v>TRIAE_CS42_5BL_TGACv1_404669_AA1307890</v>
      </c>
      <c r="F470" s="9" t="str">
        <f>HYPERLINK("http://mar2016-plants.ensembl.org/Triticum_aestivum/Gene/Summary?db=core;g=Traes_5BL_6743793D2","Traes_5BL_6743793D2")</f>
        <v>Traes_5BL_6743793D2</v>
      </c>
      <c r="G470" t="s">
        <v>1050</v>
      </c>
      <c r="H470" s="8" t="str">
        <f>HYPERLINK("http://plants.ensembl.org/Brachypodium_distachyon/Gene/Summary?g=Bradi4g32020","Bradi4g32020")</f>
        <v>Bradi4g32020</v>
      </c>
      <c r="I470" s="1" t="s">
        <v>1051</v>
      </c>
      <c r="J470" s="9" t="str">
        <f>HYPERLINK("http://plants.ensembl.org/Oryza_sativa/Gene/Summary?db=otherfeatures;g=LOC_Os09g28160","LOC_Os09g28160")</f>
        <v>LOC_Os09g28160</v>
      </c>
      <c r="K470" s="9" t="str">
        <f>HYPERLINK("http://plants.ensembl.org/Zea_mays/Gene/Summary?db=otherfeatures;g=GRMZM2G009045","GRMZM2G009045")</f>
        <v>GRMZM2G009045</v>
      </c>
      <c r="L470" s="6"/>
      <c r="M470" t="s">
        <v>973</v>
      </c>
      <c r="N470" t="s">
        <v>973</v>
      </c>
      <c r="O470">
        <v>1</v>
      </c>
      <c r="P470" t="s">
        <v>973</v>
      </c>
      <c r="S470" t="s">
        <v>973</v>
      </c>
      <c r="T470" s="6"/>
      <c r="U470" s="11">
        <v>10.906068526201693</v>
      </c>
      <c r="V470" s="11">
        <v>11.130272147604531</v>
      </c>
      <c r="W470" s="11">
        <v>9.2618763098637302</v>
      </c>
      <c r="X470" s="11">
        <v>9.6218383287348246</v>
      </c>
      <c r="Y470" s="11">
        <v>9.6814596900514758</v>
      </c>
      <c r="Z470" s="11">
        <v>9.1655750865822547</v>
      </c>
      <c r="AA470" s="11">
        <v>9.0844653416270376</v>
      </c>
      <c r="AB470" s="11">
        <v>9.3168072181529737</v>
      </c>
      <c r="AC470" s="11">
        <v>5.2990296933130203</v>
      </c>
      <c r="AD470" s="11">
        <v>4.130724991118873</v>
      </c>
      <c r="AE470" s="11">
        <v>4.9899579373824112</v>
      </c>
      <c r="AF470" s="11">
        <v>4.27316026953884</v>
      </c>
      <c r="AG470" s="11">
        <v>2.8439704484890078</v>
      </c>
      <c r="AH470" s="11">
        <v>3.4646726229601561</v>
      </c>
      <c r="AI470" s="11">
        <v>4.8313807227759256</v>
      </c>
      <c r="AJ470" s="11">
        <v>4.4080551177826406</v>
      </c>
      <c r="AK470" s="6"/>
      <c r="AL470" t="s">
        <v>1077</v>
      </c>
      <c r="AM470">
        <v>1763</v>
      </c>
      <c r="AN470" s="6"/>
      <c r="AO470" s="20">
        <v>5.6199000000000003</v>
      </c>
      <c r="AP470" s="20">
        <v>7.0021000000000004</v>
      </c>
      <c r="AQ470" s="20">
        <v>4.2755999999999998</v>
      </c>
      <c r="AR470" s="20">
        <v>5.3087999999999997</v>
      </c>
      <c r="AS470" s="20">
        <v>6.9085000000000001</v>
      </c>
      <c r="AT470" s="20">
        <v>5.7374999999999998</v>
      </c>
      <c r="AU470" s="20">
        <v>4.2550999999999997</v>
      </c>
      <c r="AV470" s="20">
        <v>4.9219999999999997</v>
      </c>
      <c r="AW470" s="6"/>
      <c r="AX470" s="18">
        <v>3.9540000000000003E-36</v>
      </c>
      <c r="AY470" s="18">
        <v>6.5519999999999996E-43</v>
      </c>
      <c r="AZ470" s="18">
        <v>1.5580000000000001E-21</v>
      </c>
      <c r="BA470" s="18">
        <v>1.8649999999999999E-30</v>
      </c>
      <c r="BB470" s="18">
        <v>1.126E-45</v>
      </c>
      <c r="BC470" s="18">
        <v>1.3210000000000001E-31</v>
      </c>
      <c r="BD470" s="18">
        <v>3.186E-21</v>
      </c>
      <c r="BE470" s="18">
        <v>4.9599999999999999E-27</v>
      </c>
      <c r="BF470" s="13"/>
      <c r="BG470" t="s">
        <v>1131</v>
      </c>
      <c r="BH470" t="s">
        <v>1132</v>
      </c>
      <c r="BI470" t="s">
        <v>1113</v>
      </c>
      <c r="BJ470" t="s">
        <v>1114</v>
      </c>
      <c r="BK470" t="s">
        <v>1115</v>
      </c>
      <c r="BL470" t="s">
        <v>1116</v>
      </c>
      <c r="BM470" t="s">
        <v>1117</v>
      </c>
      <c r="BN470" s="13"/>
      <c r="BO470" t="s">
        <v>973</v>
      </c>
      <c r="BP470" t="s">
        <v>973</v>
      </c>
      <c r="BQ470" t="s">
        <v>973</v>
      </c>
      <c r="BR470" t="s">
        <v>973</v>
      </c>
    </row>
    <row r="471" spans="1:70" x14ac:dyDescent="0.25">
      <c r="A471" t="s">
        <v>478</v>
      </c>
      <c r="B471" t="s">
        <v>479</v>
      </c>
      <c r="C471" s="3" t="s">
        <v>11</v>
      </c>
      <c r="D471" s="6"/>
      <c r="E471" s="9" t="str">
        <f>HYPERLINK("http://plants.ensembl.org/Triticum_aestivum/Gene/Summary?g=TRIAE_CS42_4AS_TGACv1_306486_AA1008960","TRIAE_CS42_4AS_TGACv1_306486_AA1008960")</f>
        <v>TRIAE_CS42_4AS_TGACv1_306486_AA1008960</v>
      </c>
      <c r="F471" s="9" t="str">
        <f>HYPERLINK("http://mar2016-plants.ensembl.org/Triticum_aestivum/Gene/Summary?db=core;g=Traes_4AS_5015DF7A2","Traes_4AS_5015DF7A2")</f>
        <v>Traes_4AS_5015DF7A2</v>
      </c>
      <c r="G471" t="s">
        <v>1007</v>
      </c>
      <c r="H471" s="8" t="str">
        <f>HYPERLINK("http://plants.ensembl.org/Brachypodium_distachyon/Gene/Summary?g=Bradi1g65810","Bradi1g65810")</f>
        <v>Bradi1g65810</v>
      </c>
      <c r="I471" s="1" t="s">
        <v>1051</v>
      </c>
      <c r="J471" s="9" t="str">
        <f>HYPERLINK("http://plants.ensembl.org/Oryza_sativa/Gene/Summary?db=otherfeatures;g=LOC_Os03g17700","LOC_Os03g17700")</f>
        <v>LOC_Os03g17700</v>
      </c>
      <c r="K471" s="9" t="str">
        <f>HYPERLINK("http://plants.ensembl.org/Zea_mays/Gene/Summary?db=otherfeatures;g=GRMZM2G017792","GRMZM2G017792")</f>
        <v>GRMZM2G017792</v>
      </c>
      <c r="L471" s="6"/>
      <c r="M471">
        <v>1</v>
      </c>
      <c r="N471">
        <v>1</v>
      </c>
      <c r="O471" t="s">
        <v>973</v>
      </c>
      <c r="P471" t="s">
        <v>973</v>
      </c>
      <c r="S471">
        <v>1</v>
      </c>
      <c r="T471" s="6"/>
      <c r="U471" s="11">
        <v>10.476229137131485</v>
      </c>
      <c r="V471" s="11">
        <v>10.292506463866998</v>
      </c>
      <c r="W471" s="11">
        <v>9.3434442445576806</v>
      </c>
      <c r="X471" s="11">
        <v>9.1477154180434948</v>
      </c>
      <c r="Y471" s="11">
        <v>9.8426195794557483</v>
      </c>
      <c r="Z471" s="11">
        <v>9.3921261241914351</v>
      </c>
      <c r="AA471" s="11">
        <v>9.2114294624087467</v>
      </c>
      <c r="AB471" s="11">
        <v>9.1276200398293401</v>
      </c>
      <c r="AC471" s="11">
        <v>7.180288783913003</v>
      </c>
      <c r="AD471" s="11">
        <v>6.8813856452078994</v>
      </c>
      <c r="AE471" s="11">
        <v>6.7797955090491397</v>
      </c>
      <c r="AF471" s="11">
        <v>7.3349212908967827</v>
      </c>
      <c r="AG471" s="11">
        <v>6.2242416209100027</v>
      </c>
      <c r="AH471" s="11">
        <v>6.4699098473848116</v>
      </c>
      <c r="AI471" s="11">
        <v>7.7044328105120394</v>
      </c>
      <c r="AJ471" s="11">
        <v>7.3802968359912331</v>
      </c>
      <c r="AK471" s="6"/>
      <c r="AL471" t="s">
        <v>1077</v>
      </c>
      <c r="AM471">
        <v>968</v>
      </c>
      <c r="AN471" s="6"/>
      <c r="AO471" s="20">
        <v>3.2991999999999999</v>
      </c>
      <c r="AP471" s="20">
        <v>3.4007999999999998</v>
      </c>
      <c r="AQ471" s="20">
        <v>2.5621</v>
      </c>
      <c r="AR471" s="20">
        <v>1.7992999999999999</v>
      </c>
      <c r="AS471" s="20">
        <v>3.6135999999999999</v>
      </c>
      <c r="AT471" s="20">
        <v>2.9190999999999998</v>
      </c>
      <c r="AU471" s="20">
        <v>1.5035000000000001</v>
      </c>
      <c r="AV471" s="20">
        <v>1.7444999999999999</v>
      </c>
      <c r="AW471" s="6"/>
      <c r="AX471" s="18">
        <v>4.1770000000000001E-25</v>
      </c>
      <c r="AY471" s="18">
        <v>5.9690000000000002E-24</v>
      </c>
      <c r="AZ471" s="18">
        <v>9.6480000000000002E-16</v>
      </c>
      <c r="BA471" s="18">
        <v>1.452E-8</v>
      </c>
      <c r="BB471" s="18">
        <v>8.8880000000000004E-30</v>
      </c>
      <c r="BC471" s="18">
        <v>1.269E-19</v>
      </c>
      <c r="BD471" s="18">
        <v>1.8190000000000001E-6</v>
      </c>
      <c r="BE471" s="18">
        <v>3.6080000000000003E-8</v>
      </c>
      <c r="BF471" s="13"/>
      <c r="BG471" t="s">
        <v>1131</v>
      </c>
      <c r="BH471" t="s">
        <v>1262</v>
      </c>
      <c r="BI471" t="s">
        <v>1113</v>
      </c>
      <c r="BJ471" t="s">
        <v>1114</v>
      </c>
      <c r="BK471" t="s">
        <v>1115</v>
      </c>
      <c r="BL471" t="s">
        <v>1116</v>
      </c>
      <c r="BM471" t="s">
        <v>1259</v>
      </c>
      <c r="BN471" s="13"/>
      <c r="BO471" t="s">
        <v>973</v>
      </c>
      <c r="BP471" t="s">
        <v>973</v>
      </c>
      <c r="BQ471" t="s">
        <v>973</v>
      </c>
      <c r="BR471" t="s">
        <v>973</v>
      </c>
    </row>
    <row r="472" spans="1:70" x14ac:dyDescent="0.25">
      <c r="A472" t="s">
        <v>580</v>
      </c>
      <c r="B472" t="s">
        <v>479</v>
      </c>
      <c r="C472" s="3" t="s">
        <v>11</v>
      </c>
      <c r="D472" s="6"/>
      <c r="E472" s="9" t="str">
        <f>HYPERLINK("http://plants.ensembl.org/Triticum_aestivum/Gene/Summary?g=TRIAE_CS42_4DL_TGACv1_344691_AA1148960","TRIAE_CS42_4DL_TGACv1_344691_AA1148960")</f>
        <v>TRIAE_CS42_4DL_TGACv1_344691_AA1148960</v>
      </c>
      <c r="F472" s="9" t="str">
        <f>HYPERLINK("http://mar2016-plants.ensembl.org/Triticum_aestivum/Gene/Summary?db=core;g=Traes_4DL_15045954F","Traes_4DL_15045954F")</f>
        <v>Traes_4DL_15045954F</v>
      </c>
      <c r="G472" t="s">
        <v>1007</v>
      </c>
      <c r="H472" s="8" t="str">
        <f>HYPERLINK("http://plants.ensembl.org/Brachypodium_distachyon/Gene/Summary?g=Bradi1g65810","Bradi1g65810")</f>
        <v>Bradi1g65810</v>
      </c>
      <c r="I472" s="1" t="s">
        <v>1051</v>
      </c>
      <c r="J472" s="9" t="str">
        <f>HYPERLINK("http://plants.ensembl.org/Oryza_sativa/Gene/Summary?db=otherfeatures;g=LOC_Os03g17700","LOC_Os03g17700")</f>
        <v>LOC_Os03g17700</v>
      </c>
      <c r="K472" s="9" t="str">
        <f>HYPERLINK("http://plants.ensembl.org/Zea_mays/Gene/Summary?db=otherfeatures;g=GRMZM2G017792","GRMZM2G017792")</f>
        <v>GRMZM2G017792</v>
      </c>
      <c r="L472" s="6"/>
      <c r="M472">
        <v>1</v>
      </c>
      <c r="N472">
        <v>1</v>
      </c>
      <c r="O472" t="s">
        <v>973</v>
      </c>
      <c r="P472" t="s">
        <v>973</v>
      </c>
      <c r="S472">
        <v>1</v>
      </c>
      <c r="T472" s="6"/>
      <c r="U472" s="11">
        <v>10.138995611672291</v>
      </c>
      <c r="V472" s="11">
        <v>9.8908394161089781</v>
      </c>
      <c r="W472" s="11">
        <v>8.5853369016297592</v>
      </c>
      <c r="X472" s="11">
        <v>8.6509296670350739</v>
      </c>
      <c r="Y472" s="11">
        <v>9.2287457524028635</v>
      </c>
      <c r="Z472" s="11">
        <v>8.6765821829070102</v>
      </c>
      <c r="AA472" s="11">
        <v>8.5548265953925586</v>
      </c>
      <c r="AB472" s="11">
        <v>8.6497480113578735</v>
      </c>
      <c r="AC472" s="11">
        <v>5.943907265129786</v>
      </c>
      <c r="AD472" s="11">
        <v>5.7772794284117941</v>
      </c>
      <c r="AE472" s="11">
        <v>5.397051077138042</v>
      </c>
      <c r="AF472" s="11">
        <v>6.2757843235243591</v>
      </c>
      <c r="AG472" s="11">
        <v>5.0000646192681817</v>
      </c>
      <c r="AH472" s="11">
        <v>5.2553559528214144</v>
      </c>
      <c r="AI472" s="11">
        <v>7.2053641640038544</v>
      </c>
      <c r="AJ472" s="11">
        <v>6.7551635470258677</v>
      </c>
      <c r="AK472" s="6"/>
      <c r="AL472" t="s">
        <v>1077</v>
      </c>
      <c r="AM472">
        <v>774</v>
      </c>
      <c r="AN472" s="6"/>
      <c r="AO472" s="20">
        <v>4.2236000000000002</v>
      </c>
      <c r="AP472" s="20">
        <v>4.0904999999999996</v>
      </c>
      <c r="AQ472" s="20">
        <v>3.1995</v>
      </c>
      <c r="AR472" s="20">
        <v>2.3571</v>
      </c>
      <c r="AS472" s="20">
        <v>4.2358000000000002</v>
      </c>
      <c r="AT472" s="20">
        <v>3.4266000000000001</v>
      </c>
      <c r="AU472" s="20">
        <v>1.3478000000000001</v>
      </c>
      <c r="AV472" s="20">
        <v>1.8938999999999999</v>
      </c>
      <c r="AW472" s="6"/>
      <c r="AX472" s="18">
        <v>8.8989999999999997E-35</v>
      </c>
      <c r="AY472" s="18">
        <v>1.8729999999999999E-28</v>
      </c>
      <c r="AZ472" s="18">
        <v>2.7950000000000001E-20</v>
      </c>
      <c r="BA472" s="18">
        <v>3.6760000000000001E-12</v>
      </c>
      <c r="BB472" s="18">
        <v>8.5709999999999999E-35</v>
      </c>
      <c r="BC472" s="18">
        <v>1.697E-22</v>
      </c>
      <c r="BD472" s="18">
        <v>5.0269999999999998E-5</v>
      </c>
      <c r="BE472" s="18">
        <v>1.5740000000000001E-8</v>
      </c>
      <c r="BF472" s="13"/>
      <c r="BG472" t="s">
        <v>1131</v>
      </c>
      <c r="BH472" t="s">
        <v>1144</v>
      </c>
      <c r="BI472" t="s">
        <v>1195</v>
      </c>
      <c r="BJ472" t="s">
        <v>1114</v>
      </c>
      <c r="BK472" t="s">
        <v>1115</v>
      </c>
      <c r="BL472" t="s">
        <v>1116</v>
      </c>
      <c r="BM472" t="s">
        <v>1205</v>
      </c>
      <c r="BN472" s="13"/>
      <c r="BO472" t="s">
        <v>973</v>
      </c>
      <c r="BP472" t="s">
        <v>973</v>
      </c>
      <c r="BQ472" t="s">
        <v>973</v>
      </c>
      <c r="BR472" t="s">
        <v>973</v>
      </c>
    </row>
    <row r="473" spans="1:70" x14ac:dyDescent="0.25">
      <c r="A473" t="s">
        <v>883</v>
      </c>
      <c r="B473" t="s">
        <v>884</v>
      </c>
      <c r="C473" t="s">
        <v>650</v>
      </c>
      <c r="D473" s="6"/>
      <c r="E473" s="9" t="str">
        <f>HYPERLINK("http://plants.ensembl.org/Triticum_aestivum/Gene/Summary?g=TRIAE_CS42_7AL_TGACv1_557280_AA1779190","TRIAE_CS42_7AL_TGACv1_557280_AA1779190")</f>
        <v>TRIAE_CS42_7AL_TGACv1_557280_AA1779190</v>
      </c>
      <c r="F473" s="9" t="str">
        <f>HYPERLINK("http://mar2016-plants.ensembl.org/Triticum_aestivum/Gene/Summary?db=core;g=Traes_7AL_ECB0591CC","Traes_7AL_ECB0591CC")</f>
        <v>Traes_7AL_ECB0591CC</v>
      </c>
      <c r="G473" t="s">
        <v>1039</v>
      </c>
      <c r="H473" s="8" t="str">
        <f>HYPERLINK("http://plants.ensembl.org/Brachypodium_distachyon/Gene/Summary?g=Bradi1g32350","Bradi1g32350")</f>
        <v>Bradi1g32350</v>
      </c>
      <c r="I473" s="8" t="str">
        <f>HYPERLINK("http://plants.ensembl.org/Arabidopsis_thaliana/Gene/Summary?g=AT1G16540","AT1G16540")</f>
        <v>AT1G16540</v>
      </c>
      <c r="J473" s="9" t="str">
        <f>HYPERLINK("http://plants.ensembl.org/Oryza_sativa/Gene/Summary?db=otherfeatures;g=LOC_Os06g45860","LOC_Os06g45860")</f>
        <v>LOC_Os06g45860</v>
      </c>
      <c r="K473" s="9" t="str">
        <f>HYPERLINK("http://plants.ensembl.org/Zea_mays/Gene/Summary?db=otherfeatures;g=GRMZM2G048092","GRMZM2G048092")</f>
        <v>GRMZM2G048092</v>
      </c>
      <c r="L473" s="6"/>
      <c r="M473">
        <v>1</v>
      </c>
      <c r="N473">
        <v>1</v>
      </c>
      <c r="O473">
        <v>1</v>
      </c>
      <c r="P473">
        <v>1</v>
      </c>
      <c r="S473">
        <v>1</v>
      </c>
      <c r="T473" s="6"/>
      <c r="U473" s="11">
        <v>10.348810243898667</v>
      </c>
      <c r="V473" s="11">
        <v>11.10495909840971</v>
      </c>
      <c r="W473" s="11">
        <v>8.5041274933323709</v>
      </c>
      <c r="X473" s="11">
        <v>9.0944282192985106</v>
      </c>
      <c r="Y473" s="11">
        <v>8.9465458723846396</v>
      </c>
      <c r="Z473" s="11">
        <v>9.2107207719841657</v>
      </c>
      <c r="AA473" s="11">
        <v>7.9924670826521131</v>
      </c>
      <c r="AB473" s="11">
        <v>9.750733166059927</v>
      </c>
      <c r="AC473" s="11">
        <v>7.8570531019247598</v>
      </c>
      <c r="AD473" s="11">
        <v>7.4147046829939107</v>
      </c>
      <c r="AE473" s="11">
        <v>7.099189284973626</v>
      </c>
      <c r="AF473" s="11">
        <v>6.9979633863274833</v>
      </c>
      <c r="AG473" s="11">
        <v>7.6051656344712164</v>
      </c>
      <c r="AH473" s="11">
        <v>7.461844747352667</v>
      </c>
      <c r="AI473" s="11">
        <v>7.9027911295580893</v>
      </c>
      <c r="AJ473" s="11">
        <v>7.8488995608531615</v>
      </c>
      <c r="AK473" s="6"/>
      <c r="AL473" t="s">
        <v>1077</v>
      </c>
      <c r="AM473">
        <v>5</v>
      </c>
      <c r="AN473" s="6"/>
      <c r="AO473" s="20">
        <v>2.4899</v>
      </c>
      <c r="AP473" s="20">
        <v>3.7321</v>
      </c>
      <c r="AQ473" s="20">
        <v>1.4045000000000001</v>
      </c>
      <c r="AR473" s="20">
        <v>2.1038999999999999</v>
      </c>
      <c r="AS473" s="20">
        <v>1.3396999999999999</v>
      </c>
      <c r="AT473" s="20">
        <v>1.7470000000000001</v>
      </c>
      <c r="AU473" s="20">
        <v>8.8900000000000007E-2</v>
      </c>
      <c r="AV473" s="20">
        <v>1.8984000000000001</v>
      </c>
      <c r="AW473" s="6"/>
      <c r="AX473" s="18">
        <v>4.183E-17</v>
      </c>
      <c r="AY473" s="18">
        <v>2.3989999999999999E-33</v>
      </c>
      <c r="AZ473" s="18">
        <v>2.5289999999999998E-6</v>
      </c>
      <c r="BA473" s="18">
        <v>2.0829999999999999E-12</v>
      </c>
      <c r="BB473" s="18">
        <v>5.4530000000000001E-6</v>
      </c>
      <c r="BC473" s="18">
        <v>3.9359999999999996E-9</v>
      </c>
      <c r="BD473" s="18">
        <v>0.76380000000000003</v>
      </c>
      <c r="BE473" s="18">
        <v>1.136E-10</v>
      </c>
      <c r="BF473" s="13"/>
      <c r="BG473" t="s">
        <v>1190</v>
      </c>
      <c r="BH473" t="s">
        <v>1132</v>
      </c>
      <c r="BI473" t="s">
        <v>1113</v>
      </c>
      <c r="BJ473" t="s">
        <v>1133</v>
      </c>
      <c r="BK473" t="s">
        <v>1115</v>
      </c>
      <c r="BL473" t="s">
        <v>1116</v>
      </c>
      <c r="BM473" t="s">
        <v>1117</v>
      </c>
      <c r="BN473" s="13"/>
      <c r="BO473" t="s">
        <v>973</v>
      </c>
      <c r="BP473" t="s">
        <v>973</v>
      </c>
      <c r="BQ473" t="s">
        <v>973</v>
      </c>
      <c r="BR473" t="s">
        <v>973</v>
      </c>
    </row>
    <row r="474" spans="1:70" x14ac:dyDescent="0.25">
      <c r="A474" t="s">
        <v>926</v>
      </c>
      <c r="B474" t="s">
        <v>927</v>
      </c>
      <c r="C474" t="s">
        <v>650</v>
      </c>
      <c r="D474" s="6"/>
      <c r="E474" s="9" t="str">
        <f>HYPERLINK("http://plants.ensembl.org/Triticum_aestivum/Gene/Summary?g=TRIAE_CS42_7BL_TGACv1_577383_AA1873910","TRIAE_CS42_7BL_TGACv1_577383_AA1873910")</f>
        <v>TRIAE_CS42_7BL_TGACv1_577383_AA1873910</v>
      </c>
      <c r="F474" s="9" t="str">
        <f>HYPERLINK("http://mar2016-plants.ensembl.org/Triticum_aestivum/Gene/Summary?db=core;g=Traes_7BL_455C22003","Traes_7BL_455C22003")</f>
        <v>Traes_7BL_455C22003</v>
      </c>
      <c r="G474" t="s">
        <v>1039</v>
      </c>
      <c r="H474" s="8" t="str">
        <f>HYPERLINK("http://plants.ensembl.org/Brachypodium_distachyon/Gene/Summary?g=Bradi1g32350","Bradi1g32350")</f>
        <v>Bradi1g32350</v>
      </c>
      <c r="I474" s="8" t="str">
        <f>HYPERLINK("http://plants.ensembl.org/Arabidopsis_thaliana/Gene/Summary?g=AT1G16540","AT1G16540")</f>
        <v>AT1G16540</v>
      </c>
      <c r="J474" s="9" t="str">
        <f>HYPERLINK("http://plants.ensembl.org/Oryza_sativa/Gene/Summary?db=otherfeatures;g=LOC_Os06g45860","LOC_Os06g45860")</f>
        <v>LOC_Os06g45860</v>
      </c>
      <c r="K474" s="9" t="str">
        <f>HYPERLINK("http://plants.ensembl.org/Zea_mays/Gene/Summary?db=otherfeatures;g=GRMZM2G048092","GRMZM2G048092")</f>
        <v>GRMZM2G048092</v>
      </c>
      <c r="L474" s="6"/>
      <c r="M474">
        <v>1</v>
      </c>
      <c r="N474">
        <v>1</v>
      </c>
      <c r="O474">
        <v>1</v>
      </c>
      <c r="P474">
        <v>1</v>
      </c>
      <c r="S474">
        <v>1</v>
      </c>
      <c r="T474" s="6"/>
      <c r="U474" s="11">
        <v>9.0627754433042647</v>
      </c>
      <c r="V474" s="11">
        <v>9.8182426328803949</v>
      </c>
      <c r="W474" s="11">
        <v>7.6333922167616581</v>
      </c>
      <c r="X474" s="11">
        <v>8.1744688399474228</v>
      </c>
      <c r="Y474" s="11">
        <v>7.6749412626904245</v>
      </c>
      <c r="Z474" s="11">
        <v>7.8112222537935843</v>
      </c>
      <c r="AA474" s="11">
        <v>6.8359017634967874</v>
      </c>
      <c r="AB474" s="11">
        <v>8.454485197011266</v>
      </c>
      <c r="AC474" s="11">
        <v>7.0619558033787779</v>
      </c>
      <c r="AD474" s="11">
        <v>6.3784139374698947</v>
      </c>
      <c r="AE474" s="11">
        <v>6.6164361192531658</v>
      </c>
      <c r="AF474" s="11">
        <v>6.5982307007752183</v>
      </c>
      <c r="AG474" s="11">
        <v>6.590663891806785</v>
      </c>
      <c r="AH474" s="11">
        <v>6.3144548479539226</v>
      </c>
      <c r="AI474" s="11">
        <v>7.0293004803737738</v>
      </c>
      <c r="AJ474" s="11">
        <v>6.9609147706799162</v>
      </c>
      <c r="AK474" s="6"/>
      <c r="AL474" t="s">
        <v>1090</v>
      </c>
      <c r="AM474">
        <v>0</v>
      </c>
      <c r="AN474" s="6"/>
      <c r="AO474" s="20">
        <v>2.0076999999999998</v>
      </c>
      <c r="AP474" s="20">
        <v>3.3037000000000001</v>
      </c>
      <c r="AQ474" s="20">
        <v>1.018</v>
      </c>
      <c r="AR474" s="20">
        <v>1.5881000000000001</v>
      </c>
      <c r="AS474" s="20">
        <v>1.0895999999999999</v>
      </c>
      <c r="AT474" s="20">
        <v>1.5001</v>
      </c>
      <c r="AU474" s="20">
        <v>-0.19570000000000001</v>
      </c>
      <c r="AV474" s="20">
        <v>1.4968999999999999</v>
      </c>
      <c r="AW474" s="6"/>
      <c r="AX474" s="18">
        <v>2.9380000000000001E-16</v>
      </c>
      <c r="AY474" s="18">
        <v>6.6379999999999995E-35</v>
      </c>
      <c r="AZ474" s="18">
        <v>3.6000000000000001E-5</v>
      </c>
      <c r="BA474" s="18">
        <v>1.2359999999999999E-10</v>
      </c>
      <c r="BB474" s="18">
        <v>7.8429999999999993E-6</v>
      </c>
      <c r="BC474" s="18">
        <v>2.1189999999999998E-9</v>
      </c>
      <c r="BD474" s="18">
        <v>0.42599999999999999</v>
      </c>
      <c r="BE474" s="18">
        <v>6.2440000000000004E-10</v>
      </c>
      <c r="BF474" s="13"/>
      <c r="BG474" t="s">
        <v>1190</v>
      </c>
      <c r="BH474" t="s">
        <v>1132</v>
      </c>
      <c r="BI474" t="s">
        <v>1113</v>
      </c>
      <c r="BJ474" t="s">
        <v>1133</v>
      </c>
      <c r="BK474" t="s">
        <v>1115</v>
      </c>
      <c r="BL474" t="s">
        <v>1116</v>
      </c>
      <c r="BM474" t="s">
        <v>1117</v>
      </c>
      <c r="BN474" s="13"/>
      <c r="BO474" t="s">
        <v>973</v>
      </c>
      <c r="BP474" t="s">
        <v>973</v>
      </c>
      <c r="BQ474" t="s">
        <v>973</v>
      </c>
      <c r="BR474" t="s">
        <v>973</v>
      </c>
    </row>
    <row r="475" spans="1:70" x14ac:dyDescent="0.25">
      <c r="A475" t="s">
        <v>958</v>
      </c>
      <c r="B475" t="s">
        <v>959</v>
      </c>
      <c r="C475" t="s">
        <v>650</v>
      </c>
      <c r="D475" s="6"/>
      <c r="E475" s="9" t="str">
        <f>HYPERLINK("http://plants.ensembl.org/Triticum_aestivum/Gene/Summary?g=TRIAE_CS42_7DL_TGACv1_602658_AA1964360","TRIAE_CS42_7DL_TGACv1_602658_AA1964360")</f>
        <v>TRIAE_CS42_7DL_TGACv1_602658_AA1964360</v>
      </c>
      <c r="F475" s="9" t="str">
        <f>HYPERLINK("http://mar2016-plants.ensembl.org/Triticum_aestivum/Gene/Summary?db=core;g=Traes_7DL_162505318","Traes_7DL_162505318")</f>
        <v>Traes_7DL_162505318</v>
      </c>
      <c r="G475" t="s">
        <v>1039</v>
      </c>
      <c r="H475" s="8" t="str">
        <f>HYPERLINK("http://plants.ensembl.org/Brachypodium_distachyon/Gene/Summary?g=Bradi1g32350","Bradi1g32350")</f>
        <v>Bradi1g32350</v>
      </c>
      <c r="I475" s="8" t="str">
        <f>HYPERLINK("http://plants.ensembl.org/Arabidopsis_thaliana/Gene/Summary?g=AT1G16540","AT1G16540")</f>
        <v>AT1G16540</v>
      </c>
      <c r="J475" s="9" t="str">
        <f>HYPERLINK("http://plants.ensembl.org/Oryza_sativa/Gene/Summary?db=otherfeatures;g=LOC_Os06g45860","LOC_Os06g45860")</f>
        <v>LOC_Os06g45860</v>
      </c>
      <c r="K475" s="9" t="str">
        <f>HYPERLINK("http://plants.ensembl.org/Zea_mays/Gene/Summary?db=otherfeatures;g=GRMZM2G048092","GRMZM2G048092")</f>
        <v>GRMZM2G048092</v>
      </c>
      <c r="L475" s="6"/>
      <c r="M475">
        <v>1</v>
      </c>
      <c r="N475">
        <v>1</v>
      </c>
      <c r="O475">
        <v>1</v>
      </c>
      <c r="P475">
        <v>1</v>
      </c>
      <c r="S475">
        <v>1</v>
      </c>
      <c r="T475" s="6"/>
      <c r="U475" s="11">
        <v>8.8980690513681839</v>
      </c>
      <c r="V475" s="11">
        <v>9.5269757551465979</v>
      </c>
      <c r="W475" s="11">
        <v>7.2318547711653887</v>
      </c>
      <c r="X475" s="11">
        <v>7.8923572250023177</v>
      </c>
      <c r="Y475" s="11">
        <v>7.3412234713940494</v>
      </c>
      <c r="Z475" s="11">
        <v>7.5538238158617004</v>
      </c>
      <c r="AA475" s="11">
        <v>6.2731235834503796</v>
      </c>
      <c r="AB475" s="11">
        <v>7.8698224767371112</v>
      </c>
      <c r="AC475" s="11">
        <v>6.3275017465490455</v>
      </c>
      <c r="AD475" s="11">
        <v>5.356873895900681</v>
      </c>
      <c r="AE475" s="11">
        <v>6.06453368679023</v>
      </c>
      <c r="AF475" s="11">
        <v>6.0100905455891702</v>
      </c>
      <c r="AG475" s="11">
        <v>5.7444436853909551</v>
      </c>
      <c r="AH475" s="11">
        <v>5.5544732268035153</v>
      </c>
      <c r="AI475" s="11">
        <v>5.9844488410026493</v>
      </c>
      <c r="AJ475" s="11">
        <v>6.0253507359622418</v>
      </c>
      <c r="AK475" s="6"/>
      <c r="AL475" t="s">
        <v>1077</v>
      </c>
      <c r="AM475">
        <v>18</v>
      </c>
      <c r="AN475" s="6"/>
      <c r="AO475" s="20">
        <v>2.5855999999999999</v>
      </c>
      <c r="AP475" s="20">
        <v>3.9266000000000001</v>
      </c>
      <c r="AQ475" s="20">
        <v>1.1711</v>
      </c>
      <c r="AR475" s="20">
        <v>1.9138999999999999</v>
      </c>
      <c r="AS475" s="20">
        <v>1.6089</v>
      </c>
      <c r="AT475" s="20">
        <v>2.0099</v>
      </c>
      <c r="AU475" s="20">
        <v>0.29020000000000001</v>
      </c>
      <c r="AV475" s="20">
        <v>1.8524</v>
      </c>
      <c r="AW475" s="6"/>
      <c r="AX475" s="18">
        <v>1.4259999999999999E-16</v>
      </c>
      <c r="AY475" s="18">
        <v>7.926E-30</v>
      </c>
      <c r="AZ475" s="18">
        <v>1.8579999999999999E-4</v>
      </c>
      <c r="BA475" s="18">
        <v>1.1180000000000001E-9</v>
      </c>
      <c r="BB475" s="18">
        <v>2.5269999999999998E-7</v>
      </c>
      <c r="BC475" s="18">
        <v>3.5750000000000001E-10</v>
      </c>
      <c r="BD475" s="18">
        <v>0.3604</v>
      </c>
      <c r="BE475" s="18">
        <v>2.953E-9</v>
      </c>
      <c r="BF475" s="13"/>
      <c r="BG475" t="s">
        <v>1190</v>
      </c>
      <c r="BH475" t="s">
        <v>1132</v>
      </c>
      <c r="BI475" t="s">
        <v>1113</v>
      </c>
      <c r="BJ475" t="s">
        <v>1133</v>
      </c>
      <c r="BK475" t="s">
        <v>1115</v>
      </c>
      <c r="BL475" t="s">
        <v>1140</v>
      </c>
      <c r="BM475" t="s">
        <v>1117</v>
      </c>
      <c r="BN475" s="13"/>
      <c r="BO475" t="s">
        <v>973</v>
      </c>
      <c r="BP475" t="s">
        <v>973</v>
      </c>
      <c r="BQ475" t="s">
        <v>973</v>
      </c>
      <c r="BR475" t="s">
        <v>973</v>
      </c>
    </row>
    <row r="476" spans="1:70" x14ac:dyDescent="0.25">
      <c r="A476" t="s">
        <v>232</v>
      </c>
      <c r="B476" t="s">
        <v>233</v>
      </c>
      <c r="C476" t="s">
        <v>234</v>
      </c>
      <c r="D476" s="6"/>
      <c r="E476" s="9" t="str">
        <f>HYPERLINK("http://plants.ensembl.org/Triticum_aestivum/Gene/Summary?g=TRIAE_CS42_2BL_TGACv1_129434_AA0383500","TRIAE_CS42_2BL_TGACv1_129434_AA0383500")</f>
        <v>TRIAE_CS42_2BL_TGACv1_129434_AA0383500</v>
      </c>
      <c r="F476" s="9" t="str">
        <f>HYPERLINK("http://mar2016-plants.ensembl.org/Triticum_aestivum/Gene/Summary?db=core;g=Traes_2BL_C834427B5","Traes_2BL_C834427B5")</f>
        <v>Traes_2BL_C834427B5</v>
      </c>
      <c r="G476" t="s">
        <v>991</v>
      </c>
      <c r="H476" s="8" t="str">
        <f>HYPERLINK("http://plants.ensembl.org/Brachypodium_distachyon/Gene/Summary?g=Bradi5g24930","Bradi5g24930")</f>
        <v>Bradi5g24930</v>
      </c>
      <c r="I476" s="8" t="str">
        <f>HYPERLINK("http://plants.ensembl.org/Arabidopsis_thaliana/Gene/Summary?g=AT5G20990","AT5G20990")</f>
        <v>AT5G20990</v>
      </c>
      <c r="J476" s="9" t="str">
        <f>HYPERLINK("http://plants.ensembl.org/Oryza_sativa/Gene/Summary?db=otherfeatures;g=LOC_Os04g56620","LOC_Os04g56620")</f>
        <v>LOC_Os04g56620</v>
      </c>
      <c r="K476" s="9" t="str">
        <f>HYPERLINK("http://plants.ensembl.org/Zea_mays/Gene/Summary?db=otherfeatures;g=GRMZM2G067176","GRMZM2G067176")</f>
        <v>GRMZM2G067176</v>
      </c>
      <c r="L476" s="6"/>
      <c r="M476">
        <v>1</v>
      </c>
      <c r="N476">
        <v>1</v>
      </c>
      <c r="O476" t="s">
        <v>973</v>
      </c>
      <c r="P476">
        <v>1</v>
      </c>
      <c r="S476">
        <v>1</v>
      </c>
      <c r="T476" s="6"/>
      <c r="U476" s="11">
        <v>9.3193264950097703</v>
      </c>
      <c r="V476" s="11">
        <v>9.4510114565040091</v>
      </c>
      <c r="W476" s="11">
        <v>8.9123566579495961</v>
      </c>
      <c r="X476" s="11">
        <v>9.1671768401339904</v>
      </c>
      <c r="Y476" s="11">
        <v>8.7828741853099039</v>
      </c>
      <c r="Z476" s="11">
        <v>8.8628689553151521</v>
      </c>
      <c r="AA476" s="11">
        <v>6.8980265124491291</v>
      </c>
      <c r="AB476" s="11">
        <v>7.8198757092428108</v>
      </c>
      <c r="AC476" s="11">
        <v>8.1320061085359878</v>
      </c>
      <c r="AD476" s="11">
        <v>8.1960586315696133</v>
      </c>
      <c r="AE476" s="11">
        <v>8.1561801799261957</v>
      </c>
      <c r="AF476" s="11">
        <v>8.4178148299618485</v>
      </c>
      <c r="AG476" s="11">
        <v>8.1531654035004042</v>
      </c>
      <c r="AH476" s="11">
        <v>8.4024855675980898</v>
      </c>
      <c r="AI476" s="11">
        <v>7.01551912711549</v>
      </c>
      <c r="AJ476" s="11">
        <v>7.2862586418615249</v>
      </c>
      <c r="AK476" s="6"/>
      <c r="AL476" t="s">
        <v>1083</v>
      </c>
      <c r="AM476">
        <v>0</v>
      </c>
      <c r="AN476" s="6"/>
      <c r="AO476" s="20">
        <v>1.2091000000000001</v>
      </c>
      <c r="AP476" s="20">
        <v>1.3068</v>
      </c>
      <c r="AQ476" s="20">
        <v>0.75590000000000002</v>
      </c>
      <c r="AR476" s="20">
        <v>0.75209999999999999</v>
      </c>
      <c r="AS476" s="20">
        <v>0.63080000000000003</v>
      </c>
      <c r="AT476" s="20">
        <v>0.45850000000000002</v>
      </c>
      <c r="AU476" s="20">
        <v>-0.11600000000000001</v>
      </c>
      <c r="AV476" s="20">
        <v>0.53600000000000003</v>
      </c>
      <c r="AW476" s="6"/>
      <c r="AX476" s="18">
        <v>6.0309999999999996E-12</v>
      </c>
      <c r="AY476" s="18">
        <v>6.4210000000000002E-12</v>
      </c>
      <c r="AZ476" s="18">
        <v>9.5980000000000003E-6</v>
      </c>
      <c r="BA476" s="18">
        <v>1.005E-5</v>
      </c>
      <c r="BB476" s="18">
        <v>2.0660000000000001E-4</v>
      </c>
      <c r="BC476" s="18">
        <v>7.2480000000000001E-3</v>
      </c>
      <c r="BD476" s="18">
        <v>0.52939999999999998</v>
      </c>
      <c r="BE476" s="18">
        <v>2.9359999999999998E-3</v>
      </c>
      <c r="BF476" s="13"/>
      <c r="BG476" t="s">
        <v>1191</v>
      </c>
      <c r="BH476" t="s">
        <v>1293</v>
      </c>
      <c r="BI476" t="s">
        <v>1222</v>
      </c>
      <c r="BJ476" t="s">
        <v>1114</v>
      </c>
      <c r="BK476" t="s">
        <v>1115</v>
      </c>
      <c r="BL476" t="s">
        <v>1203</v>
      </c>
      <c r="BM476" t="s">
        <v>1346</v>
      </c>
      <c r="BN476" s="13"/>
      <c r="BO476" t="s">
        <v>973</v>
      </c>
      <c r="BP476" t="s">
        <v>973</v>
      </c>
      <c r="BQ476" t="s">
        <v>973</v>
      </c>
      <c r="BR476" t="s">
        <v>973</v>
      </c>
    </row>
    <row r="477" spans="1:70" x14ac:dyDescent="0.25">
      <c r="A477" t="s">
        <v>867</v>
      </c>
      <c r="B477" t="s">
        <v>868</v>
      </c>
      <c r="C477" t="s">
        <v>163</v>
      </c>
      <c r="D477" s="6"/>
      <c r="E477" s="9" t="str">
        <f>HYPERLINK("http://plants.ensembl.org/Triticum_aestivum/Gene/Summary?g=TRIAE_CS42_7AL_TGACv1_556972_AA1774460","TRIAE_CS42_7AL_TGACv1_556972_AA1774460")</f>
        <v>TRIAE_CS42_7AL_TGACv1_556972_AA1774460</v>
      </c>
      <c r="F477" s="9" t="str">
        <f>HYPERLINK("http://mar2016-plants.ensembl.org/Triticum_aestivum/Gene/Summary?db=core;g=Traes_7AL_FA77CC1F41","Traes_7AL_FA77CC1F41")</f>
        <v>Traes_7AL_FA77CC1F41</v>
      </c>
      <c r="G477" t="s">
        <v>1037</v>
      </c>
      <c r="H477" s="8" t="str">
        <f>HYPERLINK("http://plants.ensembl.org/Brachypodium_distachyon/Gene/Summary?g=Bradi1g37080","Bradi1g37080")</f>
        <v>Bradi1g37080</v>
      </c>
      <c r="I477" s="8" t="str">
        <f>HYPERLINK("http://plants.ensembl.org/Arabidopsis_thaliana/Gene/Summary?g=AT3G24500","AT3G24500")</f>
        <v>AT3G24500</v>
      </c>
      <c r="J477" s="9" t="str">
        <f>HYPERLINK("http://plants.ensembl.org/Oryza_sativa/Gene/Summary?db=otherfeatures;g=LOC_Os06g39240","LOC_Os06g39240")</f>
        <v>LOC_Os06g39240</v>
      </c>
      <c r="K477" s="9" t="str">
        <f>HYPERLINK("http://plants.ensembl.org/Zea_mays/Gene/Summary?db=otherfeatures;g=GRMZM2G051135","GRMZM2G051135")</f>
        <v>GRMZM2G051135</v>
      </c>
      <c r="L477" s="6"/>
      <c r="M477" t="s">
        <v>973</v>
      </c>
      <c r="N477" t="s">
        <v>973</v>
      </c>
      <c r="O477">
        <v>1</v>
      </c>
      <c r="P477" t="s">
        <v>973</v>
      </c>
      <c r="S477" t="s">
        <v>973</v>
      </c>
      <c r="T477" s="6"/>
      <c r="U477" s="11">
        <v>9.5397202023972465</v>
      </c>
      <c r="V477" s="11">
        <v>11.147277545550008</v>
      </c>
      <c r="W477" s="11">
        <v>7.3429810507341875</v>
      </c>
      <c r="X477" s="11">
        <v>8.6522689747953443</v>
      </c>
      <c r="Y477" s="11">
        <v>8.1078433718549281</v>
      </c>
      <c r="Z477" s="11">
        <v>8.0209916026090795</v>
      </c>
      <c r="AA477" s="11">
        <v>7.1140702507181439</v>
      </c>
      <c r="AB477" s="11">
        <v>7.8194404029311286</v>
      </c>
      <c r="AC477" s="11">
        <v>3.2296853295651813</v>
      </c>
      <c r="AD477" s="11">
        <v>4.2310432133415397</v>
      </c>
      <c r="AE477" s="11">
        <v>3.4709619539083341</v>
      </c>
      <c r="AF477" s="11">
        <v>3.2859397384057045</v>
      </c>
      <c r="AG477" s="11">
        <v>1.9696386291599008</v>
      </c>
      <c r="AH477" s="11">
        <v>3.491395636048805</v>
      </c>
      <c r="AI477" s="11">
        <v>2.9861135668281533</v>
      </c>
      <c r="AJ477" s="11">
        <v>3.3564396450856151</v>
      </c>
      <c r="AK477" s="6"/>
      <c r="AL477" t="s">
        <v>1077</v>
      </c>
      <c r="AM477" s="12">
        <v>3495</v>
      </c>
      <c r="AN477" s="6"/>
      <c r="AO477" s="20">
        <v>6.4485000000000001</v>
      </c>
      <c r="AP477" s="20">
        <v>7.0340999999999996</v>
      </c>
      <c r="AQ477" s="20">
        <v>3.9241000000000001</v>
      </c>
      <c r="AR477" s="20">
        <v>5.4417999999999997</v>
      </c>
      <c r="AS477" s="20">
        <v>6.4031000000000002</v>
      </c>
      <c r="AT477" s="20">
        <v>4.5662000000000003</v>
      </c>
      <c r="AU477" s="20">
        <v>4.2408999999999999</v>
      </c>
      <c r="AV477" s="20">
        <v>4.5195999999999996</v>
      </c>
      <c r="AW477" s="6"/>
      <c r="AX477" s="18">
        <v>7.1620000000000002E-26</v>
      </c>
      <c r="AY477" s="18">
        <v>1.187E-29</v>
      </c>
      <c r="AZ477" s="18">
        <v>4.1450000000000003E-11</v>
      </c>
      <c r="BA477" s="18">
        <v>2.2950000000000001E-19</v>
      </c>
      <c r="BB477" s="18">
        <v>1.791E-23</v>
      </c>
      <c r="BC477" s="18">
        <v>2.2260000000000001E-14</v>
      </c>
      <c r="BD477" s="18">
        <v>3.942E-12</v>
      </c>
      <c r="BE477" s="18">
        <v>3.4370000000000003E-14</v>
      </c>
      <c r="BF477" s="13"/>
      <c r="BG477" t="s">
        <v>1131</v>
      </c>
      <c r="BH477" t="s">
        <v>1132</v>
      </c>
      <c r="BI477" t="s">
        <v>1113</v>
      </c>
      <c r="BJ477" t="s">
        <v>1127</v>
      </c>
      <c r="BK477" t="s">
        <v>1115</v>
      </c>
      <c r="BL477" t="s">
        <v>1116</v>
      </c>
      <c r="BM477" t="s">
        <v>1117</v>
      </c>
      <c r="BN477" s="13"/>
      <c r="BO477" t="s">
        <v>973</v>
      </c>
      <c r="BP477" t="s">
        <v>973</v>
      </c>
      <c r="BQ477" t="s">
        <v>973</v>
      </c>
      <c r="BR477" t="s">
        <v>973</v>
      </c>
    </row>
    <row r="478" spans="1:70" x14ac:dyDescent="0.25">
      <c r="A478" t="s">
        <v>920</v>
      </c>
      <c r="B478" t="s">
        <v>868</v>
      </c>
      <c r="C478" t="s">
        <v>163</v>
      </c>
      <c r="D478" s="6"/>
      <c r="E478" s="9" t="str">
        <f>HYPERLINK("http://plants.ensembl.org/Triticum_aestivum/Gene/Summary?g=TRIAE_CS42_7BL_TGACv1_577757_AA1882690","TRIAE_CS42_7BL_TGACv1_577757_AA1882690")</f>
        <v>TRIAE_CS42_7BL_TGACv1_577757_AA1882690</v>
      </c>
      <c r="F478" s="9" t="str">
        <f>HYPERLINK("http://mar2016-plants.ensembl.org/Triticum_aestivum/Gene/Summary?db=core;g=Traes_7BL_A002364C5","Traes_7BL_A002364C5")</f>
        <v>Traes_7BL_A002364C5</v>
      </c>
      <c r="G478" t="s">
        <v>1037</v>
      </c>
      <c r="H478" s="8" t="str">
        <f>HYPERLINK("http://plants.ensembl.org/Brachypodium_distachyon/Gene/Summary?g=Bradi1g37080","Bradi1g37080")</f>
        <v>Bradi1g37080</v>
      </c>
      <c r="I478" s="8" t="str">
        <f>HYPERLINK("http://plants.ensembl.org/Arabidopsis_thaliana/Gene/Summary?g=AT3G24500","AT3G24500")</f>
        <v>AT3G24500</v>
      </c>
      <c r="J478" s="9" t="str">
        <f>HYPERLINK("http://plants.ensembl.org/Oryza_sativa/Gene/Summary?db=otherfeatures;g=LOC_Os06g39240","LOC_Os06g39240")</f>
        <v>LOC_Os06g39240</v>
      </c>
      <c r="K478" s="9" t="str">
        <f>HYPERLINK("http://plants.ensembl.org/Zea_mays/Gene/Summary?db=otherfeatures;g=GRMZM2G051135","GRMZM2G051135")</f>
        <v>GRMZM2G051135</v>
      </c>
      <c r="L478" s="6"/>
      <c r="M478" t="s">
        <v>973</v>
      </c>
      <c r="N478" t="s">
        <v>973</v>
      </c>
      <c r="O478">
        <v>1</v>
      </c>
      <c r="P478" t="s">
        <v>973</v>
      </c>
      <c r="S478" t="s">
        <v>973</v>
      </c>
      <c r="T478" s="6"/>
      <c r="U478" s="11">
        <v>9.2241948247844796</v>
      </c>
      <c r="V478" s="11">
        <v>10.153053863372952</v>
      </c>
      <c r="W478" s="11">
        <v>7.0377581494230572</v>
      </c>
      <c r="X478" s="11">
        <v>7.7530018613306853</v>
      </c>
      <c r="Y478" s="11">
        <v>7.6584050194510249</v>
      </c>
      <c r="Z478" s="11">
        <v>7.3608748772764896</v>
      </c>
      <c r="AA478" s="11">
        <v>6.9212712823342191</v>
      </c>
      <c r="AB478" s="11">
        <v>6.6388847630691927</v>
      </c>
      <c r="AC478" s="11">
        <v>2.9606599753718026</v>
      </c>
      <c r="AD478" s="11">
        <v>2.5151573460342278</v>
      </c>
      <c r="AE478" s="11">
        <v>3.0138076315175701</v>
      </c>
      <c r="AF478" s="11">
        <v>2.373555415615813</v>
      </c>
      <c r="AG478" s="11">
        <v>0.81377093201582473</v>
      </c>
      <c r="AH478" s="11">
        <v>3.265411890718684</v>
      </c>
      <c r="AI478" s="11">
        <v>2.4976123656183598</v>
      </c>
      <c r="AJ478" s="11">
        <v>2.2058303851844405</v>
      </c>
      <c r="AK478" s="6"/>
      <c r="AL478" t="s">
        <v>1077</v>
      </c>
      <c r="AM478">
        <v>2239</v>
      </c>
      <c r="AN478" s="6"/>
      <c r="AO478" s="20">
        <v>6.3221999999999996</v>
      </c>
      <c r="AP478" s="20">
        <v>8.1539000000000001</v>
      </c>
      <c r="AQ478" s="20">
        <v>4.1448999999999998</v>
      </c>
      <c r="AR478" s="20">
        <v>5.5727000000000002</v>
      </c>
      <c r="AS478" s="20">
        <v>7.7778999999999998</v>
      </c>
      <c r="AT478" s="20">
        <v>4.1618000000000004</v>
      </c>
      <c r="AU478" s="20">
        <v>4.59</v>
      </c>
      <c r="AV478" s="20">
        <v>4.6509</v>
      </c>
      <c r="AW478" s="6"/>
      <c r="AX478" s="18">
        <v>3.9409999999999998E-23</v>
      </c>
      <c r="AY478" s="18">
        <v>2.4579999999999999E-26</v>
      </c>
      <c r="AZ478" s="18">
        <v>4.715E-11</v>
      </c>
      <c r="BA478" s="18">
        <v>9.7960000000000006E-17</v>
      </c>
      <c r="BB478" s="18">
        <v>4.6319999999999998E-21</v>
      </c>
      <c r="BC478" s="18">
        <v>2.6299999999999999E-11</v>
      </c>
      <c r="BD478" s="18">
        <v>2.034E-12</v>
      </c>
      <c r="BE478" s="18">
        <v>5.3099999999999998E-12</v>
      </c>
      <c r="BF478" s="13"/>
      <c r="BG478" t="s">
        <v>1274</v>
      </c>
      <c r="BH478" t="s">
        <v>1132</v>
      </c>
      <c r="BI478" t="s">
        <v>1113</v>
      </c>
      <c r="BJ478" t="s">
        <v>1114</v>
      </c>
      <c r="BK478" t="s">
        <v>1115</v>
      </c>
      <c r="BL478" t="s">
        <v>1116</v>
      </c>
      <c r="BM478" t="s">
        <v>1117</v>
      </c>
      <c r="BN478" s="13"/>
      <c r="BO478" t="s">
        <v>973</v>
      </c>
      <c r="BP478" t="s">
        <v>973</v>
      </c>
      <c r="BQ478" t="s">
        <v>973</v>
      </c>
      <c r="BR478" t="s">
        <v>973</v>
      </c>
    </row>
    <row r="479" spans="1:70" x14ac:dyDescent="0.25">
      <c r="A479" t="s">
        <v>951</v>
      </c>
      <c r="B479" t="s">
        <v>868</v>
      </c>
      <c r="C479" t="s">
        <v>163</v>
      </c>
      <c r="D479" s="6"/>
      <c r="E479" s="9" t="str">
        <f>HYPERLINK("http://plants.ensembl.org/Triticum_aestivum/Gene/Summary?g=TRIAE_CS42_7DL_TGACv1_605837_AA2008220","TRIAE_CS42_7DL_TGACv1_605837_AA2008220")</f>
        <v>TRIAE_CS42_7DL_TGACv1_605837_AA2008220</v>
      </c>
      <c r="F479" s="9" t="str">
        <f>HYPERLINK("http://mar2016-plants.ensembl.org/Triticum_aestivum/Gene/Summary?db=core;g=Traes_7DL_D5AD8EB4B","Traes_7DL_D5AD8EB4B")</f>
        <v>Traes_7DL_D5AD8EB4B</v>
      </c>
      <c r="G479" t="s">
        <v>1037</v>
      </c>
      <c r="H479" s="8" t="str">
        <f>HYPERLINK("http://plants.ensembl.org/Brachypodium_distachyon/Gene/Summary?g=Bradi1g37080","Bradi1g37080")</f>
        <v>Bradi1g37080</v>
      </c>
      <c r="I479" s="8" t="str">
        <f>HYPERLINK("http://plants.ensembl.org/Arabidopsis_thaliana/Gene/Summary?g=AT3G24500","AT3G24500")</f>
        <v>AT3G24500</v>
      </c>
      <c r="J479" s="9" t="str">
        <f>HYPERLINK("http://plants.ensembl.org/Oryza_sativa/Gene/Summary?db=otherfeatures;g=LOC_Os06g39240","LOC_Os06g39240")</f>
        <v>LOC_Os06g39240</v>
      </c>
      <c r="K479" s="9" t="str">
        <f>HYPERLINK("http://plants.ensembl.org/Zea_mays/Gene/Summary?db=otherfeatures;g=GRMZM2G051135","GRMZM2G051135")</f>
        <v>GRMZM2G051135</v>
      </c>
      <c r="L479" s="6"/>
      <c r="M479" t="s">
        <v>973</v>
      </c>
      <c r="N479" t="s">
        <v>973</v>
      </c>
      <c r="O479">
        <v>1</v>
      </c>
      <c r="P479" t="s">
        <v>973</v>
      </c>
      <c r="S479" t="s">
        <v>973</v>
      </c>
      <c r="T479" s="6"/>
      <c r="U479" s="11">
        <v>10.809614688526887</v>
      </c>
      <c r="V479" s="11">
        <v>11.830204689110456</v>
      </c>
      <c r="W479" s="11">
        <v>8.7074377073503975</v>
      </c>
      <c r="X479" s="11">
        <v>9.6448129202969923</v>
      </c>
      <c r="Y479" s="11">
        <v>9.6339671443735586</v>
      </c>
      <c r="Z479" s="11">
        <v>9.1274275317629563</v>
      </c>
      <c r="AA479" s="11">
        <v>8.5779967302103763</v>
      </c>
      <c r="AB479" s="11">
        <v>8.6302337499920423</v>
      </c>
      <c r="AC479" s="11">
        <v>4.1966778552680308</v>
      </c>
      <c r="AD479" s="11">
        <v>4.0695217325516015</v>
      </c>
      <c r="AE479" s="11">
        <v>3.3780260191673901</v>
      </c>
      <c r="AF479" s="11">
        <v>3.3293436921781474</v>
      </c>
      <c r="AG479" s="11">
        <v>1.7246939229648999</v>
      </c>
      <c r="AH479" s="11">
        <v>3.8708677255401827</v>
      </c>
      <c r="AI479" s="11">
        <v>3.4471736157320367</v>
      </c>
      <c r="AJ479" s="11">
        <v>3.1289971976166839</v>
      </c>
      <c r="AK479" s="6"/>
      <c r="AL479" t="s">
        <v>1077</v>
      </c>
      <c r="AM479">
        <v>2250</v>
      </c>
      <c r="AN479" s="6"/>
      <c r="AO479" s="20">
        <v>6.6181000000000001</v>
      </c>
      <c r="AP479" s="20">
        <v>7.9645000000000001</v>
      </c>
      <c r="AQ479" s="20">
        <v>5.3895999999999997</v>
      </c>
      <c r="AR479" s="20">
        <v>6.3841000000000001</v>
      </c>
      <c r="AS479" s="20">
        <v>8.2001000000000008</v>
      </c>
      <c r="AT479" s="20">
        <v>5.2781000000000002</v>
      </c>
      <c r="AU479" s="20">
        <v>5.1783000000000001</v>
      </c>
      <c r="AV479" s="20">
        <v>5.5696000000000003</v>
      </c>
      <c r="AW479" s="6"/>
      <c r="AX479" s="18">
        <v>1.7110000000000001E-31</v>
      </c>
      <c r="AY479" s="18">
        <v>5.3519999999999998E-38</v>
      </c>
      <c r="AZ479" s="18">
        <v>2.548E-20</v>
      </c>
      <c r="BA479" s="18">
        <v>2.6819999999999999E-27</v>
      </c>
      <c r="BB479" s="18">
        <v>6.0600000000000004E-37</v>
      </c>
      <c r="BC479" s="18">
        <v>3.2819999999999998E-20</v>
      </c>
      <c r="BD479" s="18">
        <v>3.9279999999999999E-19</v>
      </c>
      <c r="BE479" s="18">
        <v>3.9199999999999998E-21</v>
      </c>
      <c r="BF479" s="13"/>
      <c r="BG479" t="s">
        <v>1131</v>
      </c>
      <c r="BH479" t="s">
        <v>1144</v>
      </c>
      <c r="BI479" t="s">
        <v>1113</v>
      </c>
      <c r="BJ479" t="s">
        <v>1114</v>
      </c>
      <c r="BK479" t="s">
        <v>1115</v>
      </c>
      <c r="BL479" t="s">
        <v>1116</v>
      </c>
      <c r="BM479" t="s">
        <v>1117</v>
      </c>
      <c r="BN479" s="13"/>
      <c r="BO479" t="s">
        <v>973</v>
      </c>
      <c r="BP479" t="s">
        <v>973</v>
      </c>
      <c r="BQ479" t="s">
        <v>973</v>
      </c>
      <c r="BR479" t="s">
        <v>973</v>
      </c>
    </row>
    <row r="480" spans="1:70" x14ac:dyDescent="0.25">
      <c r="A480" t="s">
        <v>71</v>
      </c>
      <c r="B480" t="s">
        <v>5</v>
      </c>
      <c r="C480" t="s">
        <v>6</v>
      </c>
      <c r="D480" s="6"/>
      <c r="E480" s="9" t="str">
        <f>HYPERLINK("http://plants.ensembl.org/Triticum_aestivum/Gene/Summary?g=TRIAE_CS42_1BS_TGACv1_049609_AA0157780","TRIAE_CS42_1BS_TGACv1_049609_AA0157780")</f>
        <v>TRIAE_CS42_1BS_TGACv1_049609_AA0157780</v>
      </c>
      <c r="F480" s="9" t="str">
        <f>HYPERLINK("http://mar2016-plants.ensembl.org/Triticum_aestivum/Gene/Summary?db=core;g=Traes_1BS_E0A52650C","Traes_1BS_E0A52650C")</f>
        <v>Traes_1BS_E0A52650C</v>
      </c>
      <c r="H480" s="8" t="str">
        <f>HYPERLINK("http://plants.ensembl.org/Brachypodium_distachyon/Gene/Summary?g=Bradi2g39190","Bradi2g39190")</f>
        <v>Bradi2g39190</v>
      </c>
      <c r="I480" s="8" t="str">
        <f>HYPERLINK("http://plants.ensembl.org/Arabidopsis_thaliana/Gene/Summary?g=AT2G37660","AT2G37660")</f>
        <v>AT2G37660</v>
      </c>
      <c r="J480" s="9" t="str">
        <f>HYPERLINK("http://plants.ensembl.org/Oryza_sativa/Gene/Summary?db=otherfeatures;g=LOC_Os05g01970","LOC_Os05g01970")</f>
        <v>LOC_Os05g01970</v>
      </c>
      <c r="K480" s="9" t="str">
        <f>HYPERLINK("http://plants.ensembl.org/Zea_mays/Gene/Summary?db=otherfeatures;g=GRMZM2G047219","GRMZM2G047219")</f>
        <v>GRMZM2G047219</v>
      </c>
      <c r="L480" s="6"/>
      <c r="M480">
        <v>1</v>
      </c>
      <c r="N480" t="s">
        <v>973</v>
      </c>
      <c r="O480" t="s">
        <v>973</v>
      </c>
      <c r="P480" t="s">
        <v>973</v>
      </c>
      <c r="S480" t="s">
        <v>973</v>
      </c>
      <c r="T480" s="6"/>
      <c r="U480" s="11">
        <v>5.6400646182054821</v>
      </c>
      <c r="V480" s="11">
        <v>4.1688131636108627</v>
      </c>
      <c r="W480" s="11">
        <v>7.9651788027839467</v>
      </c>
      <c r="X480" s="11">
        <v>7.1675506167899634</v>
      </c>
      <c r="Y480" s="11">
        <v>8.2053051832942216</v>
      </c>
      <c r="Z480" s="11">
        <v>7.7843179194578003</v>
      </c>
      <c r="AA480" s="11">
        <v>4.4771527335542798</v>
      </c>
      <c r="AB480" s="11">
        <v>4.2934342494062383</v>
      </c>
      <c r="AC480" s="11">
        <v>6.4698235840071341</v>
      </c>
      <c r="AD480" s="11">
        <v>6.2178821088389666</v>
      </c>
      <c r="AE480" s="11">
        <v>8.5582723542408292</v>
      </c>
      <c r="AF480" s="11">
        <v>8.2520533792013975</v>
      </c>
      <c r="AG480" s="11">
        <v>8.7536364015047159</v>
      </c>
      <c r="AH480" s="11">
        <v>8.4410100397306671</v>
      </c>
      <c r="AI480" s="11">
        <v>5.3419738907117749</v>
      </c>
      <c r="AJ480" s="11">
        <v>5.0913218351876131</v>
      </c>
      <c r="AK480" s="6"/>
      <c r="AL480" t="s">
        <v>1100</v>
      </c>
      <c r="AM480">
        <v>0</v>
      </c>
      <c r="AN480" s="6"/>
      <c r="AO480" s="20">
        <v>-0.95369999999999999</v>
      </c>
      <c r="AP480" s="20">
        <v>-1.7259</v>
      </c>
      <c r="AQ480" s="20">
        <v>-0.59179999999999999</v>
      </c>
      <c r="AR480" s="20">
        <v>-1.085</v>
      </c>
      <c r="AS480" s="20">
        <v>-0.54720000000000002</v>
      </c>
      <c r="AT480" s="20">
        <v>-0.65900000000000003</v>
      </c>
      <c r="AU480" s="20">
        <v>-0.92410000000000003</v>
      </c>
      <c r="AV480" s="20">
        <v>-0.82789999999999997</v>
      </c>
      <c r="AW480" s="6"/>
      <c r="AX480" s="18">
        <v>1.1249999999999999E-3</v>
      </c>
      <c r="AY480" s="18">
        <v>2.794E-5</v>
      </c>
      <c r="AZ480" s="18">
        <v>1.0070000000000001E-2</v>
      </c>
      <c r="BA480" s="18">
        <v>4.1339999999999997E-6</v>
      </c>
      <c r="BB480" s="18">
        <v>1.6750000000000001E-2</v>
      </c>
      <c r="BC480" s="18">
        <v>4.4169999999999999E-3</v>
      </c>
      <c r="BD480" s="18">
        <v>1.377E-3</v>
      </c>
      <c r="BE480" s="18">
        <v>8.7049999999999992E-3</v>
      </c>
      <c r="BF480" s="13"/>
      <c r="BG480" t="s">
        <v>1291</v>
      </c>
      <c r="BH480" t="s">
        <v>1342</v>
      </c>
      <c r="BI480" t="s">
        <v>1345</v>
      </c>
      <c r="BJ480" t="s">
        <v>1114</v>
      </c>
      <c r="BK480" t="s">
        <v>1115</v>
      </c>
      <c r="BL480" t="s">
        <v>1203</v>
      </c>
      <c r="BM480" t="s">
        <v>1346</v>
      </c>
      <c r="BN480" s="13"/>
      <c r="BO480" t="s">
        <v>973</v>
      </c>
      <c r="BP480" t="s">
        <v>973</v>
      </c>
      <c r="BQ480" t="s">
        <v>973</v>
      </c>
      <c r="BR480" t="s">
        <v>973</v>
      </c>
    </row>
    <row r="481" spans="1:70" x14ac:dyDescent="0.25">
      <c r="A481" t="s">
        <v>62</v>
      </c>
      <c r="B481" t="s">
        <v>63</v>
      </c>
      <c r="C481" t="s">
        <v>64</v>
      </c>
      <c r="D481" s="6"/>
      <c r="E481" s="9" t="str">
        <f>HYPERLINK("http://plants.ensembl.org/Triticum_aestivum/Gene/Summary?g=TRIAE_CS42_1AL_TGACv1_001389_AA0029840","TRIAE_CS42_1AL_TGACv1_001389_AA0029840")</f>
        <v>TRIAE_CS42_1AL_TGACv1_001389_AA0029840</v>
      </c>
      <c r="F481" s="9" t="str">
        <f>HYPERLINK("http://mar2016-plants.ensembl.org/Triticum_aestivum/Gene/Summary?db=core;g=Traes_1AL_88881A5C9","Traes_1AL_88881A5C9")</f>
        <v>Traes_1AL_88881A5C9</v>
      </c>
      <c r="H481" s="8" t="str">
        <f>HYPERLINK("http://plants.ensembl.org/Brachypodium_distachyon/Gene/Summary?g=Bradi2g11790","Bradi2g11790")</f>
        <v>Bradi2g11790</v>
      </c>
      <c r="I481" s="8" t="str">
        <f>HYPERLINK("http://plants.ensembl.org/Arabidopsis_thaliana/Gene/Summary?g=AT4G28910","AT4G28910")</f>
        <v>AT4G28910</v>
      </c>
      <c r="J481" s="9" t="str">
        <f>HYPERLINK("http://plants.ensembl.org/Oryza_sativa/Gene/Summary?db=otherfeatures;g=LOC_Os05g48500","LOC_Os05g48500")</f>
        <v>LOC_Os05g48500</v>
      </c>
      <c r="L481" s="6"/>
      <c r="M481" s="1" t="s">
        <v>973</v>
      </c>
      <c r="N481" s="1">
        <v>1</v>
      </c>
      <c r="O481" s="1">
        <v>1</v>
      </c>
      <c r="P481" s="1" t="s">
        <v>973</v>
      </c>
      <c r="Q481" s="1" t="s">
        <v>973</v>
      </c>
      <c r="R481" s="1" t="s">
        <v>973</v>
      </c>
      <c r="S481" s="1"/>
      <c r="T481" s="6"/>
      <c r="U481" s="11">
        <v>9.5130965008874941</v>
      </c>
      <c r="V481" s="11">
        <v>9.7972679460309564</v>
      </c>
      <c r="W481" s="11">
        <v>8.6803223640404035</v>
      </c>
      <c r="X481" s="11">
        <v>9.1040386013638717</v>
      </c>
      <c r="Y481" s="11">
        <v>8.7603941748156196</v>
      </c>
      <c r="Z481" s="11">
        <v>8.7738012106147831</v>
      </c>
      <c r="AA481" s="11">
        <v>8.1829297811103849</v>
      </c>
      <c r="AB481" s="11">
        <v>8.2889809316448346</v>
      </c>
      <c r="AC481" s="11">
        <v>8.6214514259977459</v>
      </c>
      <c r="AD481" s="11">
        <v>8.262245372797663</v>
      </c>
      <c r="AE481" s="11">
        <v>8.1315010004891626</v>
      </c>
      <c r="AF481" s="11">
        <v>8.2668360349030383</v>
      </c>
      <c r="AG481" s="11">
        <v>8.1098078495072627</v>
      </c>
      <c r="AH481" s="11">
        <v>8.2028207539551889</v>
      </c>
      <c r="AI481" s="11">
        <v>8.1053430149094225</v>
      </c>
      <c r="AJ481" s="11">
        <v>8.2080423114252206</v>
      </c>
      <c r="AK481" s="6"/>
      <c r="AL481" t="s">
        <v>1077</v>
      </c>
      <c r="AM481">
        <v>0</v>
      </c>
      <c r="AN481" s="6"/>
      <c r="AO481" s="20">
        <v>0.89670000000000005</v>
      </c>
      <c r="AP481" s="20">
        <v>1.5267999999999999</v>
      </c>
      <c r="AQ481" s="20">
        <v>0.54859999999999998</v>
      </c>
      <c r="AR481" s="20">
        <v>0.83760000000000001</v>
      </c>
      <c r="AS481" s="20">
        <v>0.65149999999999997</v>
      </c>
      <c r="AT481" s="20">
        <v>0.56710000000000005</v>
      </c>
      <c r="AU481" s="20">
        <v>7.7600000000000002E-2</v>
      </c>
      <c r="AV481" s="20">
        <v>0.08</v>
      </c>
      <c r="AW481" s="6"/>
      <c r="AX481" s="18">
        <v>1.613E-8</v>
      </c>
      <c r="AY481" s="18">
        <v>1.5009999999999999E-18</v>
      </c>
      <c r="AZ481" s="18">
        <v>4.7760000000000001E-4</v>
      </c>
      <c r="BA481" s="18">
        <v>8.8800000000000001E-8</v>
      </c>
      <c r="BB481" s="18">
        <v>2.8580000000000001E-5</v>
      </c>
      <c r="BC481" s="18">
        <v>3.1510000000000002E-4</v>
      </c>
      <c r="BD481" s="18">
        <v>0.62290000000000001</v>
      </c>
      <c r="BE481" s="18">
        <v>0.61499999999999999</v>
      </c>
      <c r="BF481" s="13"/>
      <c r="BG481" t="s">
        <v>1125</v>
      </c>
      <c r="BH481" t="s">
        <v>1285</v>
      </c>
      <c r="BI481" t="s">
        <v>1113</v>
      </c>
      <c r="BJ481" t="s">
        <v>1114</v>
      </c>
      <c r="BK481" t="s">
        <v>1115</v>
      </c>
      <c r="BL481" t="s">
        <v>1116</v>
      </c>
      <c r="BM481" t="s">
        <v>1117</v>
      </c>
      <c r="BN481" s="13"/>
      <c r="BO481" t="s">
        <v>973</v>
      </c>
      <c r="BP481" t="s">
        <v>973</v>
      </c>
      <c r="BQ481" t="s">
        <v>973</v>
      </c>
      <c r="BR481" t="s">
        <v>973</v>
      </c>
    </row>
    <row r="482" spans="1:70" x14ac:dyDescent="0.25">
      <c r="A482" t="s">
        <v>141</v>
      </c>
      <c r="B482" t="s">
        <v>142</v>
      </c>
      <c r="C482" t="s">
        <v>64</v>
      </c>
      <c r="D482" s="6"/>
      <c r="E482" s="9" t="str">
        <f>HYPERLINK("http://plants.ensembl.org/Triticum_aestivum/Gene/Summary?g=TRIAE_CS42_2AS_TGACv1_112678_AA0343310","TRIAE_CS42_2AS_TGACv1_112678_AA0343310")</f>
        <v>TRIAE_CS42_2AS_TGACv1_112678_AA0343310</v>
      </c>
      <c r="F482" s="9" t="str">
        <f>HYPERLINK("http://mar2016-plants.ensembl.org/Triticum_aestivum/Gene/Summary?db=core;g=Traes_2AS_1F9C19808","Traes_2AS_1F9C19808")</f>
        <v>Traes_2AS_1F9C19808</v>
      </c>
      <c r="H482" s="8" t="str">
        <f>HYPERLINK("http://plants.ensembl.org/Brachypodium_distachyon/Gene/Summary?g=Bradi1g22180","Bradi1g22180")</f>
        <v>Bradi1g22180</v>
      </c>
      <c r="I482" s="1" t="s">
        <v>1051</v>
      </c>
      <c r="J482" s="9" t="str">
        <f>HYPERLINK("http://plants.ensembl.org/Oryza_sativa/Gene/Summary?db=otherfeatures;g=LOC_Os07g41160","LOC_Os07g41160")</f>
        <v>LOC_Os07g41160</v>
      </c>
      <c r="L482" s="6"/>
      <c r="M482" s="1" t="s">
        <v>973</v>
      </c>
      <c r="N482" s="1">
        <v>1</v>
      </c>
      <c r="O482" s="1">
        <v>1</v>
      </c>
      <c r="P482" s="1" t="s">
        <v>973</v>
      </c>
      <c r="Q482" s="1" t="s">
        <v>973</v>
      </c>
      <c r="R482" s="1" t="s">
        <v>973</v>
      </c>
      <c r="S482" s="1"/>
      <c r="T482" s="6"/>
      <c r="U482" s="11">
        <v>7.2384009176112993</v>
      </c>
      <c r="V482" s="11">
        <v>8.8113177446017428</v>
      </c>
      <c r="W482" s="11">
        <v>6.5637464192706618</v>
      </c>
      <c r="X482" s="11">
        <v>7.7261441206621111</v>
      </c>
      <c r="Y482" s="11">
        <v>6.4991139920468726</v>
      </c>
      <c r="Z482" s="11">
        <v>7.3628035800494942</v>
      </c>
      <c r="AA482" s="11">
        <v>7.3762811210125001</v>
      </c>
      <c r="AB482" s="11">
        <v>6.6184902437451365</v>
      </c>
      <c r="AC482" s="11">
        <v>5.4736851878558044</v>
      </c>
      <c r="AD482" s="11">
        <v>6.3821674791493175</v>
      </c>
      <c r="AE482" s="11">
        <v>5.7670773928403198</v>
      </c>
      <c r="AF482" s="11">
        <v>5.4402523787949848</v>
      </c>
      <c r="AG482" s="11">
        <v>5.8277098023724845</v>
      </c>
      <c r="AH482" s="11">
        <v>5.812161043676694</v>
      </c>
      <c r="AI482" s="11">
        <v>5.7458656623621023</v>
      </c>
      <c r="AJ482" s="11">
        <v>6.0228094320658156</v>
      </c>
      <c r="AK482" s="6"/>
      <c r="AL482" t="s">
        <v>1077</v>
      </c>
      <c r="AM482">
        <v>0</v>
      </c>
      <c r="AN482" s="6"/>
      <c r="AO482" s="20">
        <v>1.8087</v>
      </c>
      <c r="AP482" s="20">
        <v>2.4927000000000001</v>
      </c>
      <c r="AQ482" s="20">
        <v>0.79920000000000002</v>
      </c>
      <c r="AR482" s="20">
        <v>2.2646999999999999</v>
      </c>
      <c r="AS482" s="20">
        <v>0.66900000000000004</v>
      </c>
      <c r="AT482" s="20">
        <v>1.5558000000000001</v>
      </c>
      <c r="AU482" s="20">
        <v>1.6315</v>
      </c>
      <c r="AV482" s="20">
        <v>0.59509999999999996</v>
      </c>
      <c r="AW482" s="6"/>
      <c r="AX482" s="18">
        <v>1.249E-4</v>
      </c>
      <c r="AY482" s="18">
        <v>1.776E-7</v>
      </c>
      <c r="AZ482" s="18">
        <v>8.3099999999999993E-2</v>
      </c>
      <c r="BA482" s="18">
        <v>9.7789999999999999E-7</v>
      </c>
      <c r="BB482" s="18">
        <v>0.1449</v>
      </c>
      <c r="BC482" s="18">
        <v>7.1670000000000002E-4</v>
      </c>
      <c r="BD482" s="18">
        <v>3.6850000000000001E-4</v>
      </c>
      <c r="BE482" s="18">
        <v>0.1961</v>
      </c>
      <c r="BF482" s="13"/>
      <c r="BG482" t="s">
        <v>1337</v>
      </c>
      <c r="BH482" t="s">
        <v>1269</v>
      </c>
      <c r="BI482" t="s">
        <v>1113</v>
      </c>
      <c r="BJ482" t="s">
        <v>1127</v>
      </c>
      <c r="BK482" t="s">
        <v>1115</v>
      </c>
      <c r="BL482" t="s">
        <v>1116</v>
      </c>
      <c r="BM482" t="s">
        <v>1117</v>
      </c>
      <c r="BN482" s="13"/>
      <c r="BO482" t="s">
        <v>973</v>
      </c>
      <c r="BP482" t="s">
        <v>973</v>
      </c>
      <c r="BQ482" t="s">
        <v>973</v>
      </c>
      <c r="BR482" t="s">
        <v>973</v>
      </c>
    </row>
    <row r="483" spans="1:70" x14ac:dyDescent="0.25">
      <c r="A483" t="s">
        <v>200</v>
      </c>
      <c r="B483" t="s">
        <v>142</v>
      </c>
      <c r="C483" t="s">
        <v>64</v>
      </c>
      <c r="D483" s="6"/>
      <c r="E483" s="9" t="str">
        <f>HYPERLINK("http://plants.ensembl.org/Triticum_aestivum/Gene/Summary?g=TRIAE_CS42_2BS_TGACv1_147024_AA0476720","TRIAE_CS42_2BS_TGACv1_147024_AA0476720")</f>
        <v>TRIAE_CS42_2BS_TGACv1_147024_AA0476720</v>
      </c>
      <c r="F483" s="9" t="str">
        <f>HYPERLINK("http://mar2016-plants.ensembl.org/Triticum_aestivum/Gene/Summary?db=core;g=Traes_2BS_602A11B26","Traes_2BS_602A11B26")</f>
        <v>Traes_2BS_602A11B26</v>
      </c>
      <c r="H483" s="8" t="str">
        <f>HYPERLINK("http://plants.ensembl.org/Brachypodium_distachyon/Gene/Summary?g=Bradi1g22180","Bradi1g22180")</f>
        <v>Bradi1g22180</v>
      </c>
      <c r="I483" s="8" t="str">
        <f>HYPERLINK("http://plants.ensembl.org/Arabidopsis_thaliana/Gene/Summary?g=AT1G13740","AT1G13740")</f>
        <v>AT1G13740</v>
      </c>
      <c r="J483" s="9" t="str">
        <f>HYPERLINK("http://plants.ensembl.org/Oryza_sativa/Gene/Summary?db=otherfeatures;g=LOC_Os07g41160","LOC_Os07g41160")</f>
        <v>LOC_Os07g41160</v>
      </c>
      <c r="L483" s="6"/>
      <c r="M483" s="1" t="s">
        <v>973</v>
      </c>
      <c r="N483" s="1">
        <v>1</v>
      </c>
      <c r="O483" s="1">
        <v>1</v>
      </c>
      <c r="P483" s="1" t="s">
        <v>973</v>
      </c>
      <c r="Q483" s="1" t="s">
        <v>973</v>
      </c>
      <c r="R483" s="1" t="s">
        <v>973</v>
      </c>
      <c r="S483" s="1"/>
      <c r="T483" s="6"/>
      <c r="U483" s="11">
        <v>7.6948056887666754</v>
      </c>
      <c r="V483" s="11">
        <v>9.2935144883894889</v>
      </c>
      <c r="W483" s="11">
        <v>7.0041226912671188</v>
      </c>
      <c r="X483" s="11">
        <v>8.2133007790211874</v>
      </c>
      <c r="Y483" s="11">
        <v>7.1368674227983151</v>
      </c>
      <c r="Z483" s="11">
        <v>7.7862800842903699</v>
      </c>
      <c r="AA483" s="11">
        <v>7.5218859407765928</v>
      </c>
      <c r="AB483" s="11">
        <v>6.9602846494171464</v>
      </c>
      <c r="AC483" s="11">
        <v>6.669700980921097</v>
      </c>
      <c r="AD483" s="11">
        <v>7.0459023314534894</v>
      </c>
      <c r="AE483" s="11">
        <v>6.3178961446061477</v>
      </c>
      <c r="AF483" s="11">
        <v>6.3125502199475747</v>
      </c>
      <c r="AG483" s="11">
        <v>6.3204166815289335</v>
      </c>
      <c r="AH483" s="11">
        <v>5.8076468665129726</v>
      </c>
      <c r="AI483" s="11">
        <v>6.2401323907096078</v>
      </c>
      <c r="AJ483" s="11">
        <v>6.7886700517545941</v>
      </c>
      <c r="AK483" s="6"/>
      <c r="AL483" t="s">
        <v>1077</v>
      </c>
      <c r="AM483">
        <v>0</v>
      </c>
      <c r="AN483" s="6"/>
      <c r="AO483" s="20">
        <v>1.0513999999999999</v>
      </c>
      <c r="AP483" s="20">
        <v>2.2616999999999998</v>
      </c>
      <c r="AQ483" s="20">
        <v>0.68830000000000002</v>
      </c>
      <c r="AR483" s="20">
        <v>1.8868</v>
      </c>
      <c r="AS483" s="20">
        <v>0.81430000000000002</v>
      </c>
      <c r="AT483" s="20">
        <v>1.9775</v>
      </c>
      <c r="AU483" s="20">
        <v>1.2811999999999999</v>
      </c>
      <c r="AV483" s="20">
        <v>0.17069999999999999</v>
      </c>
      <c r="AW483" s="6"/>
      <c r="AX483" s="18">
        <v>7.9170000000000004E-3</v>
      </c>
      <c r="AY483" s="18">
        <v>2.1039999999999998E-8</v>
      </c>
      <c r="AZ483" s="18">
        <v>7.9089999999999994E-2</v>
      </c>
      <c r="BA483" s="18">
        <v>1.35E-6</v>
      </c>
      <c r="BB483" s="18">
        <v>3.6650000000000002E-2</v>
      </c>
      <c r="BC483" s="18">
        <v>5.6270000000000003E-7</v>
      </c>
      <c r="BD483" s="18">
        <v>1.023E-3</v>
      </c>
      <c r="BE483" s="18">
        <v>0.66220000000000001</v>
      </c>
      <c r="BF483" s="13"/>
      <c r="BG483" t="s">
        <v>1337</v>
      </c>
      <c r="BH483" t="s">
        <v>1126</v>
      </c>
      <c r="BI483" t="s">
        <v>1254</v>
      </c>
      <c r="BJ483" t="s">
        <v>1251</v>
      </c>
      <c r="BK483" t="s">
        <v>1115</v>
      </c>
      <c r="BL483" t="s">
        <v>1326</v>
      </c>
      <c r="BM483" t="s">
        <v>1117</v>
      </c>
      <c r="BN483" s="13"/>
      <c r="BO483" t="s">
        <v>973</v>
      </c>
      <c r="BP483" t="s">
        <v>973</v>
      </c>
      <c r="BQ483" t="s">
        <v>973</v>
      </c>
      <c r="BR483" t="s">
        <v>973</v>
      </c>
    </row>
    <row r="484" spans="1:70" x14ac:dyDescent="0.25">
      <c r="A484" t="s">
        <v>257</v>
      </c>
      <c r="B484" t="s">
        <v>142</v>
      </c>
      <c r="C484" t="s">
        <v>64</v>
      </c>
      <c r="D484" s="6"/>
      <c r="E484" s="9" t="str">
        <f>HYPERLINK("http://plants.ensembl.org/Triticum_aestivum/Gene/Summary?g=TRIAE_CS42_2DS_TGACv1_178937_AA0602560","TRIAE_CS42_2DS_TGACv1_178937_AA0602560")</f>
        <v>TRIAE_CS42_2DS_TGACv1_178937_AA0602560</v>
      </c>
      <c r="F484" s="9" t="str">
        <f>HYPERLINK("http://mar2016-plants.ensembl.org/Triticum_aestivum/Gene/Summary?db=core;g=Traes_2DS_13F997B23","Traes_2DS_13F997B23")</f>
        <v>Traes_2DS_13F997B23</v>
      </c>
      <c r="H484" s="8" t="str">
        <f>HYPERLINK("http://plants.ensembl.org/Brachypodium_distachyon/Gene/Summary?g=Bradi1g22180","Bradi1g22180")</f>
        <v>Bradi1g22180</v>
      </c>
      <c r="I484" s="8" t="str">
        <f>HYPERLINK("http://plants.ensembl.org/Arabidopsis_thaliana/Gene/Summary?g=AT1G13740","AT1G13740")</f>
        <v>AT1G13740</v>
      </c>
      <c r="J484" s="9" t="str">
        <f>HYPERLINK("http://plants.ensembl.org/Oryza_sativa/Gene/Summary?db=otherfeatures;g=LOC_Os07g41160","LOC_Os07g41160")</f>
        <v>LOC_Os07g41160</v>
      </c>
      <c r="L484" s="6"/>
      <c r="M484" s="1" t="s">
        <v>973</v>
      </c>
      <c r="N484" s="1">
        <v>1</v>
      </c>
      <c r="O484" s="1">
        <v>1</v>
      </c>
      <c r="P484" s="1" t="s">
        <v>973</v>
      </c>
      <c r="Q484" s="1" t="s">
        <v>973</v>
      </c>
      <c r="R484" s="1" t="s">
        <v>973</v>
      </c>
      <c r="S484" s="1"/>
      <c r="T484" s="6"/>
      <c r="U484" s="11">
        <v>7.5043115887220839</v>
      </c>
      <c r="V484" s="11">
        <v>8.9407882012266313</v>
      </c>
      <c r="W484" s="11">
        <v>6.774324532535247</v>
      </c>
      <c r="X484" s="11">
        <v>7.8611146220209873</v>
      </c>
      <c r="Y484" s="11">
        <v>7.3163216626265859</v>
      </c>
      <c r="Z484" s="11">
        <v>7.5522961129560846</v>
      </c>
      <c r="AA484" s="11">
        <v>7.4427779357116206</v>
      </c>
      <c r="AB484" s="11">
        <v>6.6624903639137756</v>
      </c>
      <c r="AC484" s="11">
        <v>6.2324433129603634</v>
      </c>
      <c r="AD484" s="11">
        <v>6.8291028243587188</v>
      </c>
      <c r="AE484" s="11">
        <v>6.3122930537072133</v>
      </c>
      <c r="AF484" s="11">
        <v>6.3187313908712905</v>
      </c>
      <c r="AG484" s="11">
        <v>6.0724295556952983</v>
      </c>
      <c r="AH484" s="11">
        <v>6.0711062035392231</v>
      </c>
      <c r="AI484" s="11">
        <v>6.0725981940908156</v>
      </c>
      <c r="AJ484" s="11">
        <v>6.4017652692716345</v>
      </c>
      <c r="AK484" s="6"/>
      <c r="AL484" t="s">
        <v>1077</v>
      </c>
      <c r="AM484">
        <v>0</v>
      </c>
      <c r="AN484" s="6"/>
      <c r="AO484" s="20">
        <v>1.2968999999999999</v>
      </c>
      <c r="AP484" s="20">
        <v>2.1312000000000002</v>
      </c>
      <c r="AQ484" s="20">
        <v>0.46260000000000001</v>
      </c>
      <c r="AR484" s="20">
        <v>1.5277000000000001</v>
      </c>
      <c r="AS484" s="20">
        <v>1.2392000000000001</v>
      </c>
      <c r="AT484" s="20">
        <v>1.4793000000000001</v>
      </c>
      <c r="AU484" s="20">
        <v>1.3669</v>
      </c>
      <c r="AV484" s="20">
        <v>0.2601</v>
      </c>
      <c r="AW484" s="6"/>
      <c r="AX484" s="18">
        <v>5.3160000000000004E-3</v>
      </c>
      <c r="AY484" s="18">
        <v>6.5629999999999997E-6</v>
      </c>
      <c r="AZ484" s="18">
        <v>0.31359999999999999</v>
      </c>
      <c r="BA484" s="18">
        <v>8.4190000000000003E-4</v>
      </c>
      <c r="BB484" s="18">
        <v>6.6660000000000001E-3</v>
      </c>
      <c r="BC484" s="18">
        <v>1.2849999999999999E-3</v>
      </c>
      <c r="BD484" s="18">
        <v>2.8279999999999998E-3</v>
      </c>
      <c r="BE484" s="18">
        <v>0.57189999999999996</v>
      </c>
      <c r="BF484" s="13"/>
      <c r="BG484" t="s">
        <v>1272</v>
      </c>
      <c r="BH484" t="s">
        <v>1269</v>
      </c>
      <c r="BI484" t="s">
        <v>1113</v>
      </c>
      <c r="BJ484" t="s">
        <v>1127</v>
      </c>
      <c r="BK484" t="s">
        <v>1115</v>
      </c>
      <c r="BL484" t="s">
        <v>1326</v>
      </c>
      <c r="BM484" t="s">
        <v>1117</v>
      </c>
      <c r="BN484" s="13"/>
      <c r="BO484" t="s">
        <v>973</v>
      </c>
      <c r="BP484" t="s">
        <v>973</v>
      </c>
      <c r="BQ484" t="s">
        <v>973</v>
      </c>
      <c r="BR484" t="s">
        <v>973</v>
      </c>
    </row>
    <row r="485" spans="1:70" x14ac:dyDescent="0.25">
      <c r="A485" t="s">
        <v>469</v>
      </c>
      <c r="B485" t="s">
        <v>142</v>
      </c>
      <c r="C485" t="s">
        <v>64</v>
      </c>
      <c r="D485" s="6"/>
      <c r="E485" s="9" t="str">
        <f>HYPERLINK("http://plants.ensembl.org/Triticum_aestivum/Gene/Summary?g=TRIAE_CS42_4AS_TGACv1_306214_AA1004360","TRIAE_CS42_4AS_TGACv1_306214_AA1004360")</f>
        <v>TRIAE_CS42_4AS_TGACv1_306214_AA1004360</v>
      </c>
      <c r="F485" s="9" t="str">
        <f>HYPERLINK("http://mar2016-plants.ensembl.org/Triticum_aestivum/Gene/Summary?db=core;g=Traes_4AS_0D40CC199","Traes_4AS_0D40CC199")</f>
        <v>Traes_4AS_0D40CC199</v>
      </c>
      <c r="H485" s="1" t="s">
        <v>1051</v>
      </c>
      <c r="I485" s="8" t="str">
        <f>HYPERLINK("http://plants.ensembl.org/Arabidopsis_thaliana/Gene/Summary?g=AT1G13740","AT1G13740")</f>
        <v>AT1G13740</v>
      </c>
      <c r="J485" s="1" t="s">
        <v>1051</v>
      </c>
      <c r="L485" s="6"/>
      <c r="M485" s="1" t="s">
        <v>973</v>
      </c>
      <c r="N485" s="1">
        <v>1</v>
      </c>
      <c r="O485" s="1">
        <v>1</v>
      </c>
      <c r="P485" s="1" t="s">
        <v>973</v>
      </c>
      <c r="Q485" s="1" t="s">
        <v>973</v>
      </c>
      <c r="R485" s="1" t="s">
        <v>973</v>
      </c>
      <c r="S485" s="1"/>
      <c r="T485" s="6"/>
      <c r="U485" s="11">
        <v>5.2876372805089931</v>
      </c>
      <c r="V485" s="11">
        <v>7.2126974041260299</v>
      </c>
      <c r="W485" s="11">
        <v>5.7701832999100358</v>
      </c>
      <c r="X485" s="11">
        <v>5.9717129121926416</v>
      </c>
      <c r="Y485" s="11">
        <v>5.9454844146535555</v>
      </c>
      <c r="Z485" s="11">
        <v>6.0797315231348321</v>
      </c>
      <c r="AA485" s="11">
        <v>6.6664810903469762</v>
      </c>
      <c r="AB485" s="11">
        <v>5.9388738549260234</v>
      </c>
      <c r="AC485" s="11">
        <v>6.2242345453045784</v>
      </c>
      <c r="AD485" s="11">
        <v>6.6936960285874232</v>
      </c>
      <c r="AE485" s="11">
        <v>6.24883460746568</v>
      </c>
      <c r="AF485" s="11">
        <v>6.3561672913987834</v>
      </c>
      <c r="AG485" s="11">
        <v>6.0969308618942177</v>
      </c>
      <c r="AH485" s="11">
        <v>6.0311562271780543</v>
      </c>
      <c r="AI485" s="11">
        <v>6.2813007433655077</v>
      </c>
      <c r="AJ485" s="11">
        <v>6.2387149013397227</v>
      </c>
      <c r="AK485" s="6"/>
      <c r="AL485" t="s">
        <v>1108</v>
      </c>
      <c r="AM485">
        <v>0</v>
      </c>
      <c r="AN485" s="6"/>
      <c r="AO485" s="20">
        <v>-0.91100000000000003</v>
      </c>
      <c r="AP485" s="20">
        <v>0.8216</v>
      </c>
      <c r="AQ485" s="20">
        <v>-0.47870000000000001</v>
      </c>
      <c r="AR485" s="20">
        <v>-0.3745</v>
      </c>
      <c r="AS485" s="20">
        <v>-0.157</v>
      </c>
      <c r="AT485" s="20">
        <v>6.2899999999999998E-2</v>
      </c>
      <c r="AU485" s="20">
        <v>0.38979999999999998</v>
      </c>
      <c r="AV485" s="20">
        <v>-0.3019</v>
      </c>
      <c r="AW485" s="6"/>
      <c r="AX485" s="18">
        <v>4.5519999999999996E-3</v>
      </c>
      <c r="AY485" s="18">
        <v>8.2539999999999992E-3</v>
      </c>
      <c r="AZ485" s="18">
        <v>8.5629999999999998E-2</v>
      </c>
      <c r="BA485" s="18">
        <v>0.1794</v>
      </c>
      <c r="BB485" s="18">
        <v>0.56999999999999995</v>
      </c>
      <c r="BC485" s="18">
        <v>0.82199999999999995</v>
      </c>
      <c r="BD485" s="18">
        <v>0.1464</v>
      </c>
      <c r="BE485" s="18">
        <v>0.28139999999999998</v>
      </c>
      <c r="BF485" s="13"/>
      <c r="BG485" t="s">
        <v>1111</v>
      </c>
      <c r="BH485" t="s">
        <v>1280</v>
      </c>
      <c r="BI485" t="s">
        <v>1113</v>
      </c>
      <c r="BJ485" t="s">
        <v>1127</v>
      </c>
      <c r="BK485" t="s">
        <v>1115</v>
      </c>
      <c r="BL485" t="s">
        <v>1116</v>
      </c>
      <c r="BM485" t="s">
        <v>1117</v>
      </c>
      <c r="BN485" s="13"/>
      <c r="BO485" t="s">
        <v>973</v>
      </c>
      <c r="BP485" t="s">
        <v>973</v>
      </c>
      <c r="BQ485" t="s">
        <v>973</v>
      </c>
      <c r="BR485" t="s">
        <v>973</v>
      </c>
    </row>
    <row r="486" spans="1:70" x14ac:dyDescent="0.25">
      <c r="A486" t="s">
        <v>537</v>
      </c>
      <c r="B486" t="s">
        <v>538</v>
      </c>
      <c r="C486" t="s">
        <v>64</v>
      </c>
      <c r="D486" s="6"/>
      <c r="E486" s="9" t="str">
        <f>HYPERLINK("http://plants.ensembl.org/Triticum_aestivum/Gene/Summary?g=TRIAE_CS42_4BS_TGACv1_328021_AA1081110","TRIAE_CS42_4BS_TGACv1_328021_AA1081110")</f>
        <v>TRIAE_CS42_4BS_TGACv1_328021_AA1081110</v>
      </c>
      <c r="F486" s="9" t="str">
        <f>HYPERLINK("http://mar2016-plants.ensembl.org/Triticum_aestivum/Gene/Summary?db=core;g=Traes_4BS_330D73745","Traes_4BS_330D73745")</f>
        <v>Traes_4BS_330D73745</v>
      </c>
      <c r="H486" s="8" t="str">
        <f>HYPERLINK("http://plants.ensembl.org/Brachypodium_distachyon/Gene/Summary?g=Bradi2g11790","Bradi2g11790")</f>
        <v>Bradi2g11790</v>
      </c>
      <c r="I486" s="8" t="str">
        <f>HYPERLINK("http://plants.ensembl.org/Arabidopsis_thaliana/Gene/Summary?g=AT4G28910","AT4G28910")</f>
        <v>AT4G28910</v>
      </c>
      <c r="J486" s="9" t="str">
        <f>HYPERLINK("http://plants.ensembl.org/Oryza_sativa/Gene/Summary?db=otherfeatures;g=LOC_Os05g48500","LOC_Os05g48500")</f>
        <v>LOC_Os05g48500</v>
      </c>
      <c r="L486" s="6"/>
      <c r="M486" s="1" t="s">
        <v>973</v>
      </c>
      <c r="N486" s="1">
        <v>1</v>
      </c>
      <c r="O486" s="1">
        <v>1</v>
      </c>
      <c r="P486" s="1" t="s">
        <v>973</v>
      </c>
      <c r="Q486" s="1" t="s">
        <v>973</v>
      </c>
      <c r="R486" s="1" t="s">
        <v>973</v>
      </c>
      <c r="S486" s="1"/>
      <c r="T486" s="6"/>
      <c r="U486" s="11">
        <v>9.0320991897105749</v>
      </c>
      <c r="V486" s="11">
        <v>9.1662261128541243</v>
      </c>
      <c r="W486" s="11">
        <v>8.3334322317178273</v>
      </c>
      <c r="X486" s="11">
        <v>8.4921554962618799</v>
      </c>
      <c r="Y486" s="11">
        <v>8.3399489992403204</v>
      </c>
      <c r="Z486" s="11">
        <v>8.3152480033944709</v>
      </c>
      <c r="AA486" s="11">
        <v>8.084073302870312</v>
      </c>
      <c r="AB486" s="11">
        <v>8.5368261205650668</v>
      </c>
      <c r="AC486" s="11">
        <v>8.4511154785914542</v>
      </c>
      <c r="AD486" s="11">
        <v>7.8583729154980304</v>
      </c>
      <c r="AE486" s="11">
        <v>7.9253997529147675</v>
      </c>
      <c r="AF486" s="11">
        <v>8.0273636402949684</v>
      </c>
      <c r="AG486" s="11">
        <v>7.9372256929543639</v>
      </c>
      <c r="AH486" s="11">
        <v>7.8800426334857576</v>
      </c>
      <c r="AI486" s="11">
        <v>8.1328451639291544</v>
      </c>
      <c r="AJ486" s="11">
        <v>8.2272884622036955</v>
      </c>
      <c r="AK486" s="6"/>
      <c r="AL486" t="s">
        <v>1090</v>
      </c>
      <c r="AM486">
        <v>0</v>
      </c>
      <c r="AN486" s="6"/>
      <c r="AO486" s="20">
        <v>0.57330000000000003</v>
      </c>
      <c r="AP486" s="20">
        <v>1.1972</v>
      </c>
      <c r="AQ486" s="20">
        <v>0.40439999999999998</v>
      </c>
      <c r="AR486" s="20">
        <v>0.46450000000000002</v>
      </c>
      <c r="AS486" s="20">
        <v>0.40860000000000002</v>
      </c>
      <c r="AT486" s="20">
        <v>0.43530000000000002</v>
      </c>
      <c r="AU486" s="20">
        <v>-5.2900000000000003E-2</v>
      </c>
      <c r="AV486" s="20">
        <v>0.31</v>
      </c>
      <c r="AW486" s="6"/>
      <c r="AX486" s="18">
        <v>1.043E-4</v>
      </c>
      <c r="AY486" s="18">
        <v>7.9099999999999996E-13</v>
      </c>
      <c r="AZ486" s="18">
        <v>5.254E-3</v>
      </c>
      <c r="BA486" s="18">
        <v>1.3940000000000001E-3</v>
      </c>
      <c r="BB486" s="18">
        <v>4.3990000000000001E-3</v>
      </c>
      <c r="BC486" s="18">
        <v>2.9589999999999998E-3</v>
      </c>
      <c r="BD486" s="18">
        <v>0.71309999999999996</v>
      </c>
      <c r="BE486" s="18">
        <v>3.1009999999999999E-2</v>
      </c>
      <c r="BF486" s="13"/>
      <c r="BG486" t="s">
        <v>1125</v>
      </c>
      <c r="BH486" t="s">
        <v>1112</v>
      </c>
      <c r="BI486" t="s">
        <v>1113</v>
      </c>
      <c r="BJ486" t="s">
        <v>1114</v>
      </c>
      <c r="BK486" t="s">
        <v>1115</v>
      </c>
      <c r="BL486" t="s">
        <v>1116</v>
      </c>
      <c r="BM486" t="s">
        <v>1117</v>
      </c>
      <c r="BN486" s="13"/>
      <c r="BO486" t="s">
        <v>973</v>
      </c>
      <c r="BP486" t="s">
        <v>973</v>
      </c>
      <c r="BQ486" t="s">
        <v>973</v>
      </c>
      <c r="BR486" t="s">
        <v>973</v>
      </c>
    </row>
    <row r="487" spans="1:70" x14ac:dyDescent="0.25">
      <c r="A487" t="s">
        <v>542</v>
      </c>
      <c r="B487" t="s">
        <v>543</v>
      </c>
      <c r="C487" t="s">
        <v>64</v>
      </c>
      <c r="D487" s="6"/>
      <c r="E487" s="9" t="str">
        <f>HYPERLINK("http://plants.ensembl.org/Triticum_aestivum/Gene/Summary?g=TRIAE_CS42_4BL_TGACv1_321871_AA1066500","TRIAE_CS42_4BL_TGACv1_321871_AA1066500")</f>
        <v>TRIAE_CS42_4BL_TGACv1_321871_AA1066500</v>
      </c>
      <c r="H487" s="1" t="s">
        <v>1051</v>
      </c>
      <c r="I487" s="8" t="str">
        <f>HYPERLINK("http://plants.ensembl.org/Arabidopsis_thaliana/Gene/Summary?g=AT1G69260","AT1G69260")</f>
        <v>AT1G69260</v>
      </c>
      <c r="J487" s="1" t="s">
        <v>1051</v>
      </c>
      <c r="L487" s="6"/>
      <c r="M487" s="1" t="s">
        <v>973</v>
      </c>
      <c r="N487" s="1">
        <v>1</v>
      </c>
      <c r="O487" s="1">
        <v>1</v>
      </c>
      <c r="P487" s="1" t="s">
        <v>973</v>
      </c>
      <c r="Q487" s="1" t="s">
        <v>973</v>
      </c>
      <c r="R487" s="1" t="s">
        <v>973</v>
      </c>
      <c r="S487" s="1"/>
      <c r="T487" s="6"/>
      <c r="U487" s="11">
        <v>4.6406710528745956</v>
      </c>
      <c r="V487" s="11">
        <v>6.8199533906896024</v>
      </c>
      <c r="W487" s="11">
        <v>5.3110501435240396</v>
      </c>
      <c r="X487" s="11">
        <v>4.8043513354150642</v>
      </c>
      <c r="Y487" s="11">
        <v>5.0801971552684657</v>
      </c>
      <c r="Z487" s="11">
        <v>5.1447275720937942</v>
      </c>
      <c r="AA487" s="11">
        <v>5.771383822059664</v>
      </c>
      <c r="AB487" s="11">
        <v>5.2288994791561088</v>
      </c>
      <c r="AC487" s="11">
        <v>5.832109397801907</v>
      </c>
      <c r="AD487" s="11">
        <v>5.412627990936218</v>
      </c>
      <c r="AE487" s="11">
        <v>5.8937691047054095</v>
      </c>
      <c r="AF487" s="11">
        <v>5.7123022962287795</v>
      </c>
      <c r="AG487" s="11">
        <v>5.5848653159069324</v>
      </c>
      <c r="AH487" s="11">
        <v>5.5943007143395738</v>
      </c>
      <c r="AI487" s="11">
        <v>5.7404374067586099</v>
      </c>
      <c r="AJ487" s="11">
        <v>5.8387173477702694</v>
      </c>
      <c r="AK487" s="6"/>
      <c r="AL487" t="s">
        <v>1078</v>
      </c>
      <c r="AM487">
        <v>0</v>
      </c>
      <c r="AN487" s="6"/>
      <c r="AO487" s="20">
        <v>-1.3688</v>
      </c>
      <c r="AP487" s="20">
        <v>1.7121</v>
      </c>
      <c r="AQ487" s="20">
        <v>-0.59519999999999995</v>
      </c>
      <c r="AR487" s="20">
        <v>-0.94140000000000001</v>
      </c>
      <c r="AS487" s="20">
        <v>-0.50019999999999998</v>
      </c>
      <c r="AT487" s="20">
        <v>-0.45240000000000002</v>
      </c>
      <c r="AU487" s="20">
        <v>1.2500000000000001E-2</v>
      </c>
      <c r="AV487" s="20">
        <v>-0.62409999999999999</v>
      </c>
      <c r="AW487" s="6"/>
      <c r="AX487" s="18">
        <v>1.6969999999999998E-5</v>
      </c>
      <c r="AY487" s="18">
        <v>2.7379999999999999E-9</v>
      </c>
      <c r="AZ487" s="18">
        <v>1.145E-2</v>
      </c>
      <c r="BA487" s="18">
        <v>2.522E-4</v>
      </c>
      <c r="BB487" s="18">
        <v>4.0289999999999999E-2</v>
      </c>
      <c r="BC487" s="18">
        <v>6.7680000000000004E-2</v>
      </c>
      <c r="BD487" s="18">
        <v>0.95579999999999998</v>
      </c>
      <c r="BE487" s="18">
        <v>1.0869999999999999E-2</v>
      </c>
      <c r="BF487" s="13"/>
      <c r="BG487" t="s">
        <v>1125</v>
      </c>
      <c r="BH487" t="s">
        <v>1126</v>
      </c>
      <c r="BI487" t="s">
        <v>1113</v>
      </c>
      <c r="BJ487" t="s">
        <v>1127</v>
      </c>
      <c r="BK487" t="s">
        <v>1115</v>
      </c>
      <c r="BL487" t="s">
        <v>1116</v>
      </c>
      <c r="BM487" t="s">
        <v>1117</v>
      </c>
      <c r="BN487" s="13"/>
      <c r="BO487" t="s">
        <v>973</v>
      </c>
      <c r="BP487">
        <v>1</v>
      </c>
      <c r="BQ487" t="s">
        <v>973</v>
      </c>
      <c r="BR487" t="s">
        <v>973</v>
      </c>
    </row>
    <row r="488" spans="1:70" x14ac:dyDescent="0.25">
      <c r="A488" t="s">
        <v>582</v>
      </c>
      <c r="B488" t="s">
        <v>142</v>
      </c>
      <c r="C488" t="s">
        <v>64</v>
      </c>
      <c r="D488" s="6"/>
      <c r="E488" s="9" t="str">
        <f>HYPERLINK("http://plants.ensembl.org/Triticum_aestivum/Gene/Summary?g=TRIAE_CS42_4DL_TGACv1_342972_AA1126530","TRIAE_CS42_4DL_TGACv1_342972_AA1126530")</f>
        <v>TRIAE_CS42_4DL_TGACv1_342972_AA1126530</v>
      </c>
      <c r="H488" s="1" t="s">
        <v>1051</v>
      </c>
      <c r="I488" s="1" t="s">
        <v>1051</v>
      </c>
      <c r="J488" s="1" t="s">
        <v>1051</v>
      </c>
      <c r="L488" s="6"/>
      <c r="M488" s="1" t="s">
        <v>973</v>
      </c>
      <c r="N488" s="1">
        <v>1</v>
      </c>
      <c r="O488" s="1">
        <v>1</v>
      </c>
      <c r="P488" s="1" t="s">
        <v>973</v>
      </c>
      <c r="Q488" s="1" t="s">
        <v>973</v>
      </c>
      <c r="R488" s="1" t="s">
        <v>973</v>
      </c>
      <c r="S488" s="1"/>
      <c r="T488" s="6"/>
      <c r="U488" s="11">
        <v>4.9710253935277455</v>
      </c>
      <c r="V488" s="11">
        <v>6.2361130797132942</v>
      </c>
      <c r="W488" s="11">
        <v>5.8425221574285038</v>
      </c>
      <c r="X488" s="11">
        <v>5.5732947380975606</v>
      </c>
      <c r="Y488" s="11">
        <v>5.7070295985476216</v>
      </c>
      <c r="Z488" s="11">
        <v>5.8531914315361631</v>
      </c>
      <c r="AA488" s="11">
        <v>6.5779484068125864</v>
      </c>
      <c r="AB488" s="11">
        <v>5.8723395718041962</v>
      </c>
      <c r="AC488" s="11">
        <v>6.1941547031330257</v>
      </c>
      <c r="AD488" s="11">
        <v>6.7974540222068107</v>
      </c>
      <c r="AE488" s="11">
        <v>6.7085836375394585</v>
      </c>
      <c r="AF488" s="11">
        <v>6.7326925016279127</v>
      </c>
      <c r="AG488" s="11">
        <v>6.4967541997056353</v>
      </c>
      <c r="AH488" s="11">
        <v>6.4114787865299077</v>
      </c>
      <c r="AI488" s="11">
        <v>6.4945212164176196</v>
      </c>
      <c r="AJ488" s="11">
        <v>6.6558865380883114</v>
      </c>
      <c r="AK488" s="6"/>
      <c r="AL488" t="s">
        <v>1079</v>
      </c>
      <c r="AM488">
        <v>0</v>
      </c>
      <c r="AN488" s="6"/>
      <c r="AO488" s="20">
        <v>-1.6384000000000001</v>
      </c>
      <c r="AP488" s="20">
        <v>-0.30709999999999998</v>
      </c>
      <c r="AQ488" s="20">
        <v>-0.87039999999999995</v>
      </c>
      <c r="AR488" s="20">
        <v>-1.1702999999999999</v>
      </c>
      <c r="AS488" s="20">
        <v>-0.79769999999999996</v>
      </c>
      <c r="AT488" s="20">
        <v>-0.54500000000000004</v>
      </c>
      <c r="AU488" s="20">
        <v>8.6499999999999994E-2</v>
      </c>
      <c r="AV488" s="20">
        <v>-0.79139999999999999</v>
      </c>
      <c r="AW488" s="6"/>
      <c r="AX488" s="18">
        <v>5.8359999999999997E-6</v>
      </c>
      <c r="AY488" s="18">
        <v>0.36480000000000001</v>
      </c>
      <c r="AZ488" s="18">
        <v>2.1979999999999999E-3</v>
      </c>
      <c r="BA488" s="18">
        <v>5.8879999999999999E-5</v>
      </c>
      <c r="BB488" s="18">
        <v>5.5269999999999998E-3</v>
      </c>
      <c r="BC488" s="18">
        <v>5.8470000000000001E-2</v>
      </c>
      <c r="BD488" s="18">
        <v>0.75539999999999996</v>
      </c>
      <c r="BE488" s="18">
        <v>6.0179999999999999E-3</v>
      </c>
      <c r="BF488" s="13"/>
      <c r="BG488" t="s">
        <v>1291</v>
      </c>
      <c r="BH488" t="s">
        <v>1112</v>
      </c>
      <c r="BI488" t="s">
        <v>1113</v>
      </c>
      <c r="BJ488" t="s">
        <v>1114</v>
      </c>
      <c r="BK488" t="s">
        <v>1115</v>
      </c>
      <c r="BL488" t="s">
        <v>1116</v>
      </c>
      <c r="BM488" t="s">
        <v>1117</v>
      </c>
      <c r="BN488" s="13"/>
      <c r="BO488" t="s">
        <v>973</v>
      </c>
      <c r="BP488" t="s">
        <v>973</v>
      </c>
      <c r="BQ488" t="s">
        <v>973</v>
      </c>
      <c r="BR488" t="s">
        <v>973</v>
      </c>
    </row>
    <row r="489" spans="1:70" x14ac:dyDescent="0.25">
      <c r="A489" t="s">
        <v>672</v>
      </c>
      <c r="B489" t="s">
        <v>673</v>
      </c>
      <c r="C489" t="s">
        <v>46</v>
      </c>
      <c r="D489" s="6"/>
      <c r="E489" s="9" t="str">
        <f>HYPERLINK("http://plants.ensembl.org/Triticum_aestivum/Gene/Summary?g=TRIAE_CS42_5BL_TGACv1_404733_AA1309500","TRIAE_CS42_5BL_TGACv1_404733_AA1309500")</f>
        <v>TRIAE_CS42_5BL_TGACv1_404733_AA1309500</v>
      </c>
      <c r="F489" s="9" t="str">
        <f>HYPERLINK("http://mar2016-plants.ensembl.org/Triticum_aestivum/Gene/Summary?db=core;g=Traes_5BL_CE73B6BFF","Traes_5BL_CE73B6BFF")</f>
        <v>Traes_5BL_CE73B6BFF</v>
      </c>
      <c r="G489" t="s">
        <v>1018</v>
      </c>
      <c r="H489" s="8" t="str">
        <f>HYPERLINK("http://plants.ensembl.org/Brachypodium_distachyon/Gene/Summary?g=Bradi4g44400","Bradi4g44400")</f>
        <v>Bradi4g44400</v>
      </c>
      <c r="I489" s="8" t="str">
        <f>HYPERLINK("http://plants.ensembl.org/Arabidopsis_thaliana/Gene/Summary?g=AT5G59320","AT5G59320")</f>
        <v>AT5G59320</v>
      </c>
      <c r="J489" s="9" t="str">
        <f>HYPERLINK("http://plants.ensembl.org/Oryza_sativa/Gene/Summary?db=otherfeatures;g=LOC_Os12g02340","LOC_Os12g02340")</f>
        <v>LOC_Os12g02340</v>
      </c>
      <c r="K489" s="9" t="str">
        <f>HYPERLINK("http://plants.ensembl.org/Zea_mays/Gene/Summary?db=otherfeatures;g=GRMZM2G107839","GRMZM2G107839")</f>
        <v>GRMZM2G107839</v>
      </c>
      <c r="L489" s="6"/>
      <c r="M489">
        <v>1</v>
      </c>
      <c r="N489" t="s">
        <v>973</v>
      </c>
      <c r="O489">
        <v>1</v>
      </c>
      <c r="P489" t="s">
        <v>973</v>
      </c>
      <c r="S489" t="s">
        <v>973</v>
      </c>
      <c r="T489" s="6"/>
      <c r="U489" s="11">
        <v>11.004378189544575</v>
      </c>
      <c r="V489" s="11">
        <v>11.898186329308931</v>
      </c>
      <c r="W489" s="11">
        <v>11.018644466033123</v>
      </c>
      <c r="X489" s="11">
        <v>11.623304098382761</v>
      </c>
      <c r="Y489" s="11">
        <v>11.599264986785137</v>
      </c>
      <c r="Z489" s="11">
        <v>11.960821363022365</v>
      </c>
      <c r="AA489" s="11">
        <v>11.584361550073279</v>
      </c>
      <c r="AB489" s="11">
        <v>11.283027757015912</v>
      </c>
      <c r="AC489" s="11">
        <v>10.614636603400756</v>
      </c>
      <c r="AD489" s="11">
        <v>12.392868659895433</v>
      </c>
      <c r="AE489" s="11">
        <v>11.338841025229915</v>
      </c>
      <c r="AF489" s="11">
        <v>11.476991542476382</v>
      </c>
      <c r="AG489" s="11">
        <v>11.181122102028754</v>
      </c>
      <c r="AH489" s="11">
        <v>11.673411641967292</v>
      </c>
      <c r="AI489" s="11">
        <v>10.564532823667529</v>
      </c>
      <c r="AJ489" s="11">
        <v>11.425422342560848</v>
      </c>
      <c r="AK489" s="6"/>
      <c r="AL489" t="s">
        <v>1080</v>
      </c>
      <c r="AM489">
        <v>0</v>
      </c>
      <c r="AN489" s="6"/>
      <c r="AO489" s="20">
        <v>0.3906</v>
      </c>
      <c r="AP489" s="20">
        <v>-0.49259999999999998</v>
      </c>
      <c r="AQ489" s="20">
        <v>-0.31830000000000003</v>
      </c>
      <c r="AR489" s="20">
        <v>0.14510000000000001</v>
      </c>
      <c r="AS489" s="20">
        <v>0.4158</v>
      </c>
      <c r="AT489" s="20">
        <v>0.28589999999999999</v>
      </c>
      <c r="AU489" s="20">
        <v>1.0141</v>
      </c>
      <c r="AV489" s="20">
        <v>-0.1416</v>
      </c>
      <c r="AW489" s="6"/>
      <c r="AX489" s="18">
        <v>0.26900000000000002</v>
      </c>
      <c r="AY489" s="18">
        <v>0.16350000000000001</v>
      </c>
      <c r="AZ489" s="18">
        <v>0.36630000000000001</v>
      </c>
      <c r="BA489" s="18">
        <v>0.68030000000000002</v>
      </c>
      <c r="BB489" s="18">
        <v>0.23769999999999999</v>
      </c>
      <c r="BC489" s="18">
        <v>0.41670000000000001</v>
      </c>
      <c r="BD489" s="18">
        <v>3.999E-3</v>
      </c>
      <c r="BE489" s="18">
        <v>0.68779999999999997</v>
      </c>
      <c r="BF489" s="13"/>
      <c r="BG489" t="s">
        <v>1250</v>
      </c>
      <c r="BH489" t="s">
        <v>1112</v>
      </c>
      <c r="BI489" t="s">
        <v>1113</v>
      </c>
      <c r="BJ489" t="s">
        <v>1114</v>
      </c>
      <c r="BK489" t="s">
        <v>1151</v>
      </c>
      <c r="BL489" t="s">
        <v>1116</v>
      </c>
      <c r="BM489" t="s">
        <v>1117</v>
      </c>
      <c r="BN489" s="13"/>
      <c r="BO489" t="s">
        <v>973</v>
      </c>
      <c r="BP489" t="s">
        <v>973</v>
      </c>
      <c r="BQ489" t="s">
        <v>973</v>
      </c>
      <c r="BR489" t="s">
        <v>973</v>
      </c>
    </row>
    <row r="490" spans="1:70" x14ac:dyDescent="0.25">
      <c r="A490" t="s">
        <v>84</v>
      </c>
      <c r="B490" t="s">
        <v>85</v>
      </c>
      <c r="C490" s="3" t="s">
        <v>86</v>
      </c>
      <c r="D490" s="6"/>
      <c r="E490" s="9" t="str">
        <f>HYPERLINK("http://plants.ensembl.org/Triticum_aestivum/Gene/Summary?g=TRIAE_CS42_1BL_TGACv1_032262_AA0127620","TRIAE_CS42_1BL_TGACv1_032262_AA0127620")</f>
        <v>TRIAE_CS42_1BL_TGACv1_032262_AA0127620</v>
      </c>
      <c r="H490" s="8" t="str">
        <f>HYPERLINK("http://plants.ensembl.org/Brachypodium_distachyon/Gene/Summary?g=Bradi2g27680","Bradi2g27680")</f>
        <v>Bradi2g27680</v>
      </c>
      <c r="I490" s="1" t="s">
        <v>1051</v>
      </c>
      <c r="J490" s="9" t="str">
        <f>HYPERLINK("http://plants.ensembl.org/Oryza_sativa/Gene/Summary?db=otherfeatures;g=LOC_Os05g30500","LOC_Os05g30500")</f>
        <v>LOC_Os05g30500</v>
      </c>
      <c r="L490" s="6"/>
      <c r="M490">
        <v>1</v>
      </c>
      <c r="T490" s="6"/>
      <c r="U490" s="11">
        <v>5.6519710863443278</v>
      </c>
      <c r="V490" s="11">
        <v>8.2034741160161921</v>
      </c>
      <c r="W490" s="11">
        <v>3.3406572112817794</v>
      </c>
      <c r="X490" s="11">
        <v>3.6527924017900766</v>
      </c>
      <c r="Y490" s="11">
        <v>4.2495211905662007</v>
      </c>
      <c r="Z490" s="11">
        <v>3.8129396943418099</v>
      </c>
      <c r="AA490" s="11">
        <v>3.6884713305695058</v>
      </c>
      <c r="AB490" s="11">
        <v>3.1045826798516045</v>
      </c>
      <c r="AC490" s="11">
        <v>1.2454145304927775</v>
      </c>
      <c r="AD490" s="11">
        <v>0.73378816862518204</v>
      </c>
      <c r="AE490" s="11">
        <v>3.0424634055688107</v>
      </c>
      <c r="AF490" s="11">
        <v>0.47677914088184625</v>
      </c>
      <c r="AG490" s="11">
        <v>2.6352049096165091</v>
      </c>
      <c r="AH490" s="11">
        <v>1.762107814767101</v>
      </c>
      <c r="AI490" s="11">
        <v>1.3568950182822841</v>
      </c>
      <c r="AJ490" s="11">
        <v>0.80837132044523463</v>
      </c>
      <c r="AK490" s="6"/>
      <c r="AL490" t="s">
        <v>1077</v>
      </c>
      <c r="AM490">
        <v>15</v>
      </c>
      <c r="AN490" s="6"/>
      <c r="AO490" s="20">
        <v>5.1351000000000004</v>
      </c>
      <c r="AP490" s="20">
        <v>7.7428999999999997</v>
      </c>
      <c r="AQ490" s="20">
        <v>0.34060000000000001</v>
      </c>
      <c r="AR490" s="20">
        <v>4.0911</v>
      </c>
      <c r="AS490" s="20">
        <v>1.7376</v>
      </c>
      <c r="AT490" s="20">
        <v>2.3824000000000001</v>
      </c>
      <c r="AU490" s="20">
        <v>2.8098000000000001</v>
      </c>
      <c r="AV490" s="20">
        <v>3.0539999999999998</v>
      </c>
      <c r="AW490" s="6"/>
      <c r="AX490" s="18">
        <v>3.0169999999999998E-8</v>
      </c>
      <c r="AY490" s="18">
        <v>1.7310000000000001E-14</v>
      </c>
      <c r="AZ490" s="18">
        <v>0.6512</v>
      </c>
      <c r="BA490" s="18">
        <v>1.5469999999999999E-4</v>
      </c>
      <c r="BB490" s="18">
        <v>1.8329999999999999E-2</v>
      </c>
      <c r="BC490" s="18">
        <v>4.4450000000000002E-3</v>
      </c>
      <c r="BD490" s="18">
        <v>1.242E-3</v>
      </c>
      <c r="BE490" s="18">
        <v>2.3549999999999999E-3</v>
      </c>
      <c r="BF490" s="13"/>
      <c r="BG490" t="s">
        <v>1125</v>
      </c>
      <c r="BH490" t="s">
        <v>1126</v>
      </c>
      <c r="BI490" t="s">
        <v>1113</v>
      </c>
      <c r="BJ490" t="s">
        <v>1127</v>
      </c>
      <c r="BK490" t="s">
        <v>1115</v>
      </c>
      <c r="BL490" t="s">
        <v>1116</v>
      </c>
      <c r="BM490" t="s">
        <v>1117</v>
      </c>
      <c r="BN490" s="13"/>
      <c r="BO490" t="s">
        <v>973</v>
      </c>
      <c r="BP490">
        <v>1</v>
      </c>
      <c r="BQ490" t="s">
        <v>973</v>
      </c>
      <c r="BR490" t="s">
        <v>973</v>
      </c>
    </row>
    <row r="491" spans="1:70" x14ac:dyDescent="0.25">
      <c r="A491" t="s">
        <v>108</v>
      </c>
      <c r="B491" t="s">
        <v>85</v>
      </c>
      <c r="C491" s="3" t="s">
        <v>86</v>
      </c>
      <c r="D491" s="6"/>
      <c r="E491" s="9" t="str">
        <f>HYPERLINK("http://plants.ensembl.org/Triticum_aestivum/Gene/Summary?g=TRIAE_CS42_1DL_TGACv1_062962_AA0222290","TRIAE_CS42_1DL_TGACv1_062962_AA0222290")</f>
        <v>TRIAE_CS42_1DL_TGACv1_062962_AA0222290</v>
      </c>
      <c r="H491" s="8" t="str">
        <f>HYPERLINK("http://plants.ensembl.org/Brachypodium_distachyon/Gene/Summary?g=Bradi2g27680","Bradi2g27680")</f>
        <v>Bradi2g27680</v>
      </c>
      <c r="I491" s="1" t="s">
        <v>1051</v>
      </c>
      <c r="J491" s="9" t="str">
        <f>HYPERLINK("http://plants.ensembl.org/Oryza_sativa/Gene/Summary?db=otherfeatures;g=LOC_Os05g30500","LOC_Os05g30500")</f>
        <v>LOC_Os05g30500</v>
      </c>
      <c r="L491" s="6"/>
      <c r="M491">
        <v>1</v>
      </c>
      <c r="T491" s="6"/>
      <c r="U491" s="11">
        <v>6.6037598530025541</v>
      </c>
      <c r="V491" s="11">
        <v>8.555707401894578</v>
      </c>
      <c r="W491" s="11">
        <v>4.7034662010309907</v>
      </c>
      <c r="X491" s="11">
        <v>4.8551691470721554</v>
      </c>
      <c r="Y491" s="11">
        <v>5.5425634807611317</v>
      </c>
      <c r="Z491" s="11">
        <v>4.9837536880105713</v>
      </c>
      <c r="AA491" s="11">
        <v>4.6340665847575364</v>
      </c>
      <c r="AB491" s="11">
        <v>4.4685398747676794</v>
      </c>
      <c r="AC491" s="11">
        <v>2.2507392924684146</v>
      </c>
      <c r="AD491" s="11">
        <v>1.5627837785565264</v>
      </c>
      <c r="AE491" s="11">
        <v>3.5693087992292889</v>
      </c>
      <c r="AF491" s="11">
        <v>2.2616912729216585</v>
      </c>
      <c r="AG491" s="11">
        <v>3.4853280678795122</v>
      </c>
      <c r="AH491" s="11">
        <v>1.4876578435586505</v>
      </c>
      <c r="AI491" s="11">
        <v>2.7777318053879436</v>
      </c>
      <c r="AJ491" s="11">
        <v>0.59655355274250566</v>
      </c>
      <c r="AK491" s="6"/>
      <c r="AL491" t="s">
        <v>1077</v>
      </c>
      <c r="AM491">
        <v>109</v>
      </c>
      <c r="AN491" s="6"/>
      <c r="AO491" s="20">
        <v>4.7191000000000001</v>
      </c>
      <c r="AP491" s="20">
        <v>6.9019000000000004</v>
      </c>
      <c r="AQ491" s="20">
        <v>1.1755</v>
      </c>
      <c r="AR491" s="20">
        <v>2.7242999999999999</v>
      </c>
      <c r="AS491" s="20">
        <v>2.0861999999999998</v>
      </c>
      <c r="AT491" s="20">
        <v>3.9245999999999999</v>
      </c>
      <c r="AU491" s="20">
        <v>1.9932000000000001</v>
      </c>
      <c r="AV491" s="20">
        <v>4.8832000000000004</v>
      </c>
      <c r="AW491" s="6"/>
      <c r="AX491" s="18">
        <v>3.182E-10</v>
      </c>
      <c r="AY491" s="18">
        <v>2.9239999999999998E-16</v>
      </c>
      <c r="AZ491" s="18">
        <v>8.0329999999999999E-2</v>
      </c>
      <c r="BA491" s="18">
        <v>1.9870000000000001E-4</v>
      </c>
      <c r="BB491" s="18">
        <v>1.5039999999999999E-3</v>
      </c>
      <c r="BC491" s="18">
        <v>1.8500000000000001E-6</v>
      </c>
      <c r="BD491" s="18">
        <v>4.2420000000000001E-3</v>
      </c>
      <c r="BE491" s="18">
        <v>1.4389999999999999E-6</v>
      </c>
      <c r="BF491" s="13"/>
      <c r="BG491" t="s">
        <v>1125</v>
      </c>
      <c r="BH491" t="s">
        <v>1126</v>
      </c>
      <c r="BI491" t="s">
        <v>1113</v>
      </c>
      <c r="BJ491" t="s">
        <v>1127</v>
      </c>
      <c r="BK491" t="s">
        <v>1115</v>
      </c>
      <c r="BL491" t="s">
        <v>1116</v>
      </c>
      <c r="BM491" t="s">
        <v>1117</v>
      </c>
      <c r="BN491" s="13"/>
      <c r="BO491" t="s">
        <v>973</v>
      </c>
      <c r="BP491">
        <v>1</v>
      </c>
      <c r="BQ491" t="s">
        <v>973</v>
      </c>
      <c r="BR491" t="s">
        <v>973</v>
      </c>
    </row>
    <row r="492" spans="1:70" x14ac:dyDescent="0.25">
      <c r="A492" t="s">
        <v>602</v>
      </c>
      <c r="B492" t="s">
        <v>603</v>
      </c>
      <c r="C492" t="s">
        <v>26</v>
      </c>
      <c r="D492" s="6"/>
      <c r="E492" s="9" t="str">
        <f>HYPERLINK("http://plants.ensembl.org/Triticum_aestivum/Gene/Summary?g=TRIAE_CS42_5AS_TGACv1_394228_AA1279010","TRIAE_CS42_5AS_TGACv1_394228_AA1279010")</f>
        <v>TRIAE_CS42_5AS_TGACv1_394228_AA1279010</v>
      </c>
      <c r="F492" s="9" t="str">
        <f>HYPERLINK("http://mar2016-plants.ensembl.org/Triticum_aestivum/Gene/Summary?db=core;g=Traes_5AS_8A3C47D2F","Traes_5AS_8A3C47D2F")</f>
        <v>Traes_5AS_8A3C47D2F</v>
      </c>
      <c r="G492" t="s">
        <v>1014</v>
      </c>
      <c r="H492" s="8" t="str">
        <f>HYPERLINK("http://plants.ensembl.org/Brachypodium_distachyon/Gene/Summary?g=Bradi4g05300","Bradi4g05300")</f>
        <v>Bradi4g05300</v>
      </c>
      <c r="I492" s="8" t="str">
        <f>HYPERLINK("http://plants.ensembl.org/Arabidopsis_thaliana/Gene/Summary?g=AT5G63310","AT5G63310")</f>
        <v>AT5G63310</v>
      </c>
      <c r="J492" s="9" t="str">
        <f>HYPERLINK("http://plants.ensembl.org/Oryza_sativa/Gene/Summary?db=otherfeatures;g=LOC_Os12g36194","LOC_Os12g36194")</f>
        <v>LOC_Os12g36194</v>
      </c>
      <c r="K492" s="9" t="str">
        <f>HYPERLINK("http://plants.ensembl.org/Zea_mays/Gene/Summary?db=otherfeatures;g=GRMZM2G013478","GRMZM2G013478")</f>
        <v>GRMZM2G013478</v>
      </c>
      <c r="L492" s="6"/>
      <c r="M492" t="s">
        <v>973</v>
      </c>
      <c r="N492" t="s">
        <v>973</v>
      </c>
      <c r="O492" t="s">
        <v>973</v>
      </c>
      <c r="P492">
        <v>1</v>
      </c>
      <c r="S492" t="s">
        <v>973</v>
      </c>
      <c r="T492" s="6"/>
      <c r="U492" s="11">
        <v>6.1096704910071091</v>
      </c>
      <c r="V492" s="11">
        <v>5.3418766635980504</v>
      </c>
      <c r="W492" s="11">
        <v>6.1666819744816372</v>
      </c>
      <c r="X492" s="11">
        <v>5.9453392640225848</v>
      </c>
      <c r="Y492" s="11">
        <v>6.4079288302870063</v>
      </c>
      <c r="Z492" s="11">
        <v>6.5030953295255038</v>
      </c>
      <c r="AA492" s="11">
        <v>6.9774951667025595</v>
      </c>
      <c r="AB492" s="11">
        <v>6.2951646434658493</v>
      </c>
      <c r="AC492" s="11">
        <v>6.851784431769417</v>
      </c>
      <c r="AD492" s="11">
        <v>6.8889518260144316</v>
      </c>
      <c r="AE492" s="11">
        <v>6.7728375557427958</v>
      </c>
      <c r="AF492" s="11">
        <v>6.4458767556032468</v>
      </c>
      <c r="AG492" s="11">
        <v>6.7926983405706265</v>
      </c>
      <c r="AH492" s="11">
        <v>6.7821306935574786</v>
      </c>
      <c r="AI492" s="11">
        <v>6.5857552642054946</v>
      </c>
      <c r="AJ492" s="11">
        <v>6.8550823308069395</v>
      </c>
      <c r="AK492" s="6"/>
      <c r="AL492" t="s">
        <v>1079</v>
      </c>
      <c r="AM492">
        <v>0</v>
      </c>
      <c r="AN492" s="6"/>
      <c r="AO492" s="20">
        <v>-0.6452</v>
      </c>
      <c r="AP492" s="20">
        <v>-1.5412999999999999</v>
      </c>
      <c r="AQ492" s="20">
        <v>-0.60670000000000002</v>
      </c>
      <c r="AR492" s="20">
        <v>-0.48659999999999998</v>
      </c>
      <c r="AS492" s="20">
        <v>-0.3881</v>
      </c>
      <c r="AT492" s="20">
        <v>-0.27079999999999999</v>
      </c>
      <c r="AU492" s="20">
        <v>0.39700000000000002</v>
      </c>
      <c r="AV492" s="20">
        <v>-0.56359999999999999</v>
      </c>
      <c r="AW492" s="6"/>
      <c r="AX492" s="18">
        <v>1.81E-3</v>
      </c>
      <c r="AY492" s="18">
        <v>3.0639999999999999E-7</v>
      </c>
      <c r="AZ492" s="18">
        <v>6.4689999999999995E-4</v>
      </c>
      <c r="BA492" s="18">
        <v>1.047E-2</v>
      </c>
      <c r="BB492" s="18">
        <v>2.5239999999999999E-2</v>
      </c>
      <c r="BC492" s="18">
        <v>0.1232</v>
      </c>
      <c r="BD492" s="18">
        <v>1.857E-2</v>
      </c>
      <c r="BE492" s="18">
        <v>1.72E-3</v>
      </c>
      <c r="BF492" s="13"/>
      <c r="BG492" t="s">
        <v>1128</v>
      </c>
      <c r="BH492" t="s">
        <v>1112</v>
      </c>
      <c r="BI492" t="s">
        <v>1113</v>
      </c>
      <c r="BJ492" t="s">
        <v>1114</v>
      </c>
      <c r="BK492" t="s">
        <v>1115</v>
      </c>
      <c r="BL492" t="s">
        <v>1116</v>
      </c>
      <c r="BM492" t="s">
        <v>1117</v>
      </c>
      <c r="BN492" s="13"/>
      <c r="BO492" t="s">
        <v>973</v>
      </c>
      <c r="BP492" t="s">
        <v>973</v>
      </c>
      <c r="BQ492" t="s">
        <v>973</v>
      </c>
      <c r="BR492" t="s">
        <v>973</v>
      </c>
    </row>
    <row r="493" spans="1:70" x14ac:dyDescent="0.25">
      <c r="A493" t="s">
        <v>721</v>
      </c>
      <c r="B493" t="s">
        <v>722</v>
      </c>
      <c r="C493" t="s">
        <v>26</v>
      </c>
      <c r="D493" s="6"/>
      <c r="E493" s="9" t="str">
        <f>HYPERLINK("http://plants.ensembl.org/Triticum_aestivum/Gene/Summary?g=TRIAE_CS42_5DS_TGACv1_458160_AA1492440","TRIAE_CS42_5DS_TGACv1_458160_AA1492440")</f>
        <v>TRIAE_CS42_5DS_TGACv1_458160_AA1492440</v>
      </c>
      <c r="F493" s="9" t="str">
        <f>HYPERLINK("http://mar2016-plants.ensembl.org/Triticum_aestivum/Gene/Summary?db=core;g=Traes_5DS_922F3F6EA","Traes_5DS_922F3F6EA")</f>
        <v>Traes_5DS_922F3F6EA</v>
      </c>
      <c r="G493" t="s">
        <v>1014</v>
      </c>
      <c r="H493" s="8" t="str">
        <f>HYPERLINK("http://plants.ensembl.org/Brachypodium_distachyon/Gene/Summary?g=Bradi4g05300","Bradi4g05300")</f>
        <v>Bradi4g05300</v>
      </c>
      <c r="I493" s="8" t="str">
        <f>HYPERLINK("http://plants.ensembl.org/Arabidopsis_thaliana/Gene/Summary?g=AT5G63310","AT5G63310")</f>
        <v>AT5G63310</v>
      </c>
      <c r="J493" s="9" t="str">
        <f>HYPERLINK("http://plants.ensembl.org/Oryza_sativa/Gene/Summary?db=otherfeatures;g=LOC_Os12g36194","LOC_Os12g36194")</f>
        <v>LOC_Os12g36194</v>
      </c>
      <c r="K493" s="9" t="str">
        <f>HYPERLINK("http://plants.ensembl.org/Zea_mays/Gene/Summary?db=otherfeatures;g=GRMZM2G013478","GRMZM2G013478")</f>
        <v>GRMZM2G013478</v>
      </c>
      <c r="L493" s="6"/>
      <c r="M493" t="s">
        <v>973</v>
      </c>
      <c r="N493" t="s">
        <v>973</v>
      </c>
      <c r="O493" t="s">
        <v>973</v>
      </c>
      <c r="P493">
        <v>1</v>
      </c>
      <c r="S493" t="s">
        <v>973</v>
      </c>
      <c r="T493" s="6"/>
      <c r="U493" s="11">
        <v>5.4525624900665601</v>
      </c>
      <c r="V493" s="11">
        <v>5.4637118160868932</v>
      </c>
      <c r="W493" s="11">
        <v>5.4177231446179803</v>
      </c>
      <c r="X493" s="11">
        <v>5.1826989177976275</v>
      </c>
      <c r="Y493" s="11">
        <v>5.88637292913858</v>
      </c>
      <c r="Z493" s="11">
        <v>5.7503635342461612</v>
      </c>
      <c r="AA493" s="11">
        <v>6.9824304525929666</v>
      </c>
      <c r="AB493" s="11">
        <v>5.2647666033127916</v>
      </c>
      <c r="AC493" s="11">
        <v>6.0982518051805483</v>
      </c>
      <c r="AD493" s="11">
        <v>6.2926762421611997</v>
      </c>
      <c r="AE493" s="11">
        <v>6.0763524354151945</v>
      </c>
      <c r="AF493" s="11">
        <v>5.6674976287128445</v>
      </c>
      <c r="AG493" s="11">
        <v>6.3338911980422967</v>
      </c>
      <c r="AH493" s="11">
        <v>5.8972008880884035</v>
      </c>
      <c r="AI493" s="11">
        <v>6.2468913116827949</v>
      </c>
      <c r="AJ493" s="11">
        <v>5.6076646843104596</v>
      </c>
      <c r="AK493" s="6"/>
      <c r="AL493" t="s">
        <v>1074</v>
      </c>
      <c r="AM493">
        <v>0</v>
      </c>
      <c r="AN493" s="6"/>
      <c r="AO493" s="20">
        <v>-0.53390000000000004</v>
      </c>
      <c r="AP493" s="20">
        <v>-1.2369000000000001</v>
      </c>
      <c r="AQ493" s="20">
        <v>-0.66180000000000005</v>
      </c>
      <c r="AR493" s="20">
        <v>-0.50249999999999995</v>
      </c>
      <c r="AS493" s="20">
        <v>-0.45240000000000002</v>
      </c>
      <c r="AT493" s="20">
        <v>-0.1515</v>
      </c>
      <c r="AU493" s="20">
        <v>0.74929999999999997</v>
      </c>
      <c r="AV493" s="20">
        <v>-0.34499999999999997</v>
      </c>
      <c r="AW493" s="6"/>
      <c r="AX493" s="18">
        <v>0.1067</v>
      </c>
      <c r="AY493" s="18">
        <v>2.0999999999999999E-3</v>
      </c>
      <c r="AZ493" s="18">
        <v>2.8309999999999998E-2</v>
      </c>
      <c r="BA493" s="18">
        <v>0.1105</v>
      </c>
      <c r="BB493" s="18">
        <v>0.1227</v>
      </c>
      <c r="BC493" s="18">
        <v>0.61570000000000003</v>
      </c>
      <c r="BD493" s="18">
        <v>8.5909999999999997E-3</v>
      </c>
      <c r="BE493" s="18">
        <v>0.27250000000000002</v>
      </c>
      <c r="BF493" s="13"/>
      <c r="BG493" t="s">
        <v>1111</v>
      </c>
      <c r="BH493" t="s">
        <v>1216</v>
      </c>
      <c r="BI493" t="s">
        <v>1113</v>
      </c>
      <c r="BJ493" t="s">
        <v>1217</v>
      </c>
      <c r="BK493" t="s">
        <v>1115</v>
      </c>
      <c r="BL493" t="s">
        <v>1218</v>
      </c>
      <c r="BM493" t="s">
        <v>1117</v>
      </c>
      <c r="BN493" s="13"/>
      <c r="BO493" t="s">
        <v>973</v>
      </c>
      <c r="BP493" t="s">
        <v>973</v>
      </c>
      <c r="BQ493" t="s">
        <v>973</v>
      </c>
      <c r="BR493" t="s">
        <v>973</v>
      </c>
    </row>
    <row r="494" spans="1:70" x14ac:dyDescent="0.25">
      <c r="A494" t="s">
        <v>811</v>
      </c>
      <c r="B494" t="s">
        <v>812</v>
      </c>
      <c r="C494" t="s">
        <v>288</v>
      </c>
      <c r="D494" s="6"/>
      <c r="E494" s="9" t="str">
        <f>HYPERLINK("http://plants.ensembl.org/Triticum_aestivum/Gene/Summary?g=TRIAE_CS42_6BL_TGACv1_500276_AA1602560","TRIAE_CS42_6BL_TGACv1_500276_AA1602560")</f>
        <v>TRIAE_CS42_6BL_TGACv1_500276_AA1602560</v>
      </c>
      <c r="F494" s="9" t="str">
        <f>HYPERLINK("http://mar2016-plants.ensembl.org/Triticum_aestivum/Gene/Summary?db=core;g=Traes_6BL_10100130E1","Traes_6BL_10100130E1")</f>
        <v>Traes_6BL_10100130E1</v>
      </c>
      <c r="G494" t="s">
        <v>1032</v>
      </c>
      <c r="H494" s="8" t="str">
        <f>HYPERLINK("http://plants.ensembl.org/Brachypodium_distachyon/Gene/Summary?g=Bradi3g08590","Bradi3g08590")</f>
        <v>Bradi3g08590</v>
      </c>
      <c r="I494" s="8" t="str">
        <f>HYPERLINK("http://plants.ensembl.org/Arabidopsis_thaliana/Gene/Summary?g=AT1G51965","AT1G51965")</f>
        <v>AT1G51965</v>
      </c>
      <c r="J494" s="9" t="str">
        <f>HYPERLINK("http://plants.ensembl.org/Oryza_sativa/Gene/Summary?db=otherfeatures;g=LOC_Os02g13340","LOC_Os02g13340")</f>
        <v>LOC_Os02g13340</v>
      </c>
      <c r="K494" s="9" t="str">
        <f>HYPERLINK("http://plants.ensembl.org/Zea_mays/Gene/Summary?db=otherfeatures;g=GRMZM2G085718","GRMZM2G085718")</f>
        <v>GRMZM2G085718</v>
      </c>
      <c r="L494" s="6"/>
      <c r="M494" t="s">
        <v>973</v>
      </c>
      <c r="N494" t="s">
        <v>973</v>
      </c>
      <c r="O494" t="s">
        <v>973</v>
      </c>
      <c r="P494" t="s">
        <v>973</v>
      </c>
      <c r="S494">
        <v>1</v>
      </c>
      <c r="T494" s="6"/>
      <c r="U494" s="11">
        <v>6.342234711576153</v>
      </c>
      <c r="V494" s="11">
        <v>6.6495196593993162</v>
      </c>
      <c r="W494" s="11">
        <v>6.1747579407308173</v>
      </c>
      <c r="X494" s="11">
        <v>6.7795162584066517</v>
      </c>
      <c r="Y494" s="11">
        <v>6.4254050325936074</v>
      </c>
      <c r="Z494" s="11">
        <v>6.8354613711384529</v>
      </c>
      <c r="AA494" s="11">
        <v>5.3917264837995829</v>
      </c>
      <c r="AB494" s="11">
        <v>6.2298090011228746</v>
      </c>
      <c r="AC494" s="11">
        <v>4.6862465157931315</v>
      </c>
      <c r="AD494" s="11">
        <v>4.4306287309108132</v>
      </c>
      <c r="AE494" s="11">
        <v>5.3599170232690394</v>
      </c>
      <c r="AF494" s="11">
        <v>5.4094192239984276</v>
      </c>
      <c r="AG494" s="11">
        <v>5.2412503779416966</v>
      </c>
      <c r="AH494" s="11">
        <v>5.4345681835878548</v>
      </c>
      <c r="AI494" s="11">
        <v>5.1846373529636844</v>
      </c>
      <c r="AJ494" s="11">
        <v>5.5817057506372638</v>
      </c>
      <c r="AK494" s="6"/>
      <c r="AL494" t="s">
        <v>1077</v>
      </c>
      <c r="AM494">
        <v>7</v>
      </c>
      <c r="AN494" s="6"/>
      <c r="AO494" s="20">
        <v>1.7861</v>
      </c>
      <c r="AP494" s="20">
        <v>2.2128000000000001</v>
      </c>
      <c r="AQ494" s="20">
        <v>0.82020000000000004</v>
      </c>
      <c r="AR494" s="20">
        <v>1.3837999999999999</v>
      </c>
      <c r="AS494" s="20">
        <v>1.2012</v>
      </c>
      <c r="AT494" s="20">
        <v>1.4166000000000001</v>
      </c>
      <c r="AU494" s="20">
        <v>0.20569999999999999</v>
      </c>
      <c r="AV494" s="20">
        <v>0.65449999999999997</v>
      </c>
      <c r="AW494" s="6"/>
      <c r="AX494" s="18">
        <v>3.364E-9</v>
      </c>
      <c r="AY494" s="18">
        <v>4.195E-10</v>
      </c>
      <c r="AZ494" s="18">
        <v>1.993E-3</v>
      </c>
      <c r="BA494" s="18">
        <v>1.4719999999999999E-7</v>
      </c>
      <c r="BB494" s="18">
        <v>3.4429999999999999E-6</v>
      </c>
      <c r="BC494" s="18">
        <v>6.905E-8</v>
      </c>
      <c r="BD494" s="18">
        <v>0.45340000000000003</v>
      </c>
      <c r="BE494" s="18">
        <v>1.3100000000000001E-2</v>
      </c>
      <c r="BF494" s="13"/>
      <c r="BG494" t="s">
        <v>1245</v>
      </c>
      <c r="BH494" t="s">
        <v>1112</v>
      </c>
      <c r="BI494" t="s">
        <v>1113</v>
      </c>
      <c r="BJ494" t="s">
        <v>1114</v>
      </c>
      <c r="BK494" t="s">
        <v>1115</v>
      </c>
      <c r="BL494" t="s">
        <v>1116</v>
      </c>
      <c r="BM494" t="s">
        <v>1117</v>
      </c>
      <c r="BN494" s="13"/>
      <c r="BO494" t="s">
        <v>973</v>
      </c>
      <c r="BP494" t="s">
        <v>973</v>
      </c>
      <c r="BQ494" t="s">
        <v>973</v>
      </c>
      <c r="BR494" t="s">
        <v>973</v>
      </c>
    </row>
    <row r="495" spans="1:70" x14ac:dyDescent="0.25">
      <c r="A495" t="s">
        <v>304</v>
      </c>
      <c r="B495" t="s">
        <v>305</v>
      </c>
      <c r="C495" t="s">
        <v>2</v>
      </c>
      <c r="D495" s="6"/>
      <c r="E495" s="9" t="str">
        <f>HYPERLINK("http://plants.ensembl.org/Triticum_aestivum/Gene/Summary?g=TRIAE_CS42_3AS_TGACv1_210945_AA0681900","TRIAE_CS42_3AS_TGACv1_210945_AA0681900")</f>
        <v>TRIAE_CS42_3AS_TGACv1_210945_AA0681900</v>
      </c>
      <c r="F495" s="9" t="str">
        <f>HYPERLINK("http://mar2016-plants.ensembl.org/Triticum_aestivum/Gene/Summary?db=core;g=Traes_3AS_12D74A531","Traes_3AS_12D74A531")</f>
        <v>Traes_3AS_12D74A531</v>
      </c>
      <c r="G495" t="s">
        <v>996</v>
      </c>
      <c r="H495" s="8" t="str">
        <f>HYPERLINK("http://plants.ensembl.org/Brachypodium_distachyon/Gene/Summary?g=Bradi2g11060","Bradi2g11060")</f>
        <v>Bradi2g11060</v>
      </c>
      <c r="I495" s="8" t="str">
        <f>HYPERLINK("http://plants.ensembl.org/Arabidopsis_thaliana/Gene/Summary?g=AT3G62030","AT3G62030")</f>
        <v>AT3G62030</v>
      </c>
      <c r="J495" s="9" t="str">
        <f>HYPERLINK("http://plants.ensembl.org/Oryza_sativa/Gene/Summary?db=otherfeatures;g=LOC_Os01g18210","LOC_Os01g18210")</f>
        <v>LOC_Os01g18210</v>
      </c>
      <c r="K495" s="9" t="str">
        <f>HYPERLINK("http://plants.ensembl.org/Zea_mays/Gene/Summary?db=otherfeatures;g=GRMZM2G393515","GRMZM2G393515")</f>
        <v>GRMZM2G393515</v>
      </c>
      <c r="L495" s="6"/>
      <c r="M495">
        <v>1</v>
      </c>
      <c r="N495">
        <v>1</v>
      </c>
      <c r="O495" t="s">
        <v>973</v>
      </c>
      <c r="P495" t="s">
        <v>973</v>
      </c>
      <c r="S495" t="s">
        <v>973</v>
      </c>
      <c r="T495" s="6"/>
      <c r="U495" s="11">
        <v>6.4212726788404257</v>
      </c>
      <c r="V495" s="11">
        <v>5.6035857956611252</v>
      </c>
      <c r="W495" s="11">
        <v>6.3959482126942069</v>
      </c>
      <c r="X495" s="11">
        <v>6.0474976735247292</v>
      </c>
      <c r="Y495" s="11">
        <v>6.5061560132885292</v>
      </c>
      <c r="Z495" s="11">
        <v>6.2313312790267483</v>
      </c>
      <c r="AA495" s="11">
        <v>6.8674294888312488</v>
      </c>
      <c r="AB495" s="11">
        <v>6.639418373906012</v>
      </c>
      <c r="AC495" s="11">
        <v>7.4860959579534248</v>
      </c>
      <c r="AD495" s="11">
        <v>7.0538766598634597</v>
      </c>
      <c r="AE495" s="11">
        <v>6.9672742998290182</v>
      </c>
      <c r="AF495" s="11">
        <v>6.7296791978569246</v>
      </c>
      <c r="AG495" s="11">
        <v>6.9548465400661605</v>
      </c>
      <c r="AH495" s="11">
        <v>6.7370841607925991</v>
      </c>
      <c r="AI495" s="11">
        <v>7.1777497336759719</v>
      </c>
      <c r="AJ495" s="11">
        <v>7.1458071832389347</v>
      </c>
      <c r="AK495" s="6"/>
      <c r="AL495" t="s">
        <v>1079</v>
      </c>
      <c r="AM495">
        <v>0</v>
      </c>
      <c r="AN495" s="6"/>
      <c r="AO495" s="20">
        <v>-1.1405000000000001</v>
      </c>
      <c r="AP495" s="20">
        <v>-1.7446999999999999</v>
      </c>
      <c r="AQ495" s="20">
        <v>-0.57340000000000002</v>
      </c>
      <c r="AR495" s="20">
        <v>-0.68630000000000002</v>
      </c>
      <c r="AS495" s="20">
        <v>-0.44219999999999998</v>
      </c>
      <c r="AT495" s="20">
        <v>-0.52210000000000001</v>
      </c>
      <c r="AU495" s="20">
        <v>-0.31979999999999997</v>
      </c>
      <c r="AV495" s="20">
        <v>-0.50849999999999995</v>
      </c>
      <c r="AW495" s="6"/>
      <c r="AX495" s="18">
        <v>1.0979999999999999E-6</v>
      </c>
      <c r="AY495" s="18">
        <v>4.0579999999999997E-8</v>
      </c>
      <c r="AZ495" s="18">
        <v>6.8979999999999996E-3</v>
      </c>
      <c r="BA495" s="18">
        <v>2.0110000000000002E-3</v>
      </c>
      <c r="BB495" s="18">
        <v>3.5819999999999998E-2</v>
      </c>
      <c r="BC495" s="18">
        <v>1.66E-2</v>
      </c>
      <c r="BD495" s="18">
        <v>0.1186</v>
      </c>
      <c r="BE495" s="18">
        <v>1.6320000000000001E-2</v>
      </c>
      <c r="BF495" s="13"/>
      <c r="BG495" t="s">
        <v>1164</v>
      </c>
      <c r="BH495" t="s">
        <v>1112</v>
      </c>
      <c r="BI495" t="s">
        <v>1113</v>
      </c>
      <c r="BJ495" t="s">
        <v>1114</v>
      </c>
      <c r="BK495" t="s">
        <v>1115</v>
      </c>
      <c r="BL495" t="s">
        <v>1116</v>
      </c>
      <c r="BM495" t="s">
        <v>1117</v>
      </c>
      <c r="BN495" s="13"/>
      <c r="BO495" t="s">
        <v>973</v>
      </c>
      <c r="BP495" t="s">
        <v>973</v>
      </c>
      <c r="BQ495" t="s">
        <v>973</v>
      </c>
      <c r="BR495" t="s">
        <v>973</v>
      </c>
    </row>
    <row r="496" spans="1:70" x14ac:dyDescent="0.25">
      <c r="A496" t="s">
        <v>493</v>
      </c>
      <c r="B496" t="s">
        <v>494</v>
      </c>
      <c r="C496" t="s">
        <v>495</v>
      </c>
      <c r="D496" s="6"/>
      <c r="E496" s="9" t="str">
        <f>HYPERLINK("http://plants.ensembl.org/Triticum_aestivum/Gene/Summary?g=TRIAE_CS42_4AL_TGACv1_289868_AA0978150","TRIAE_CS42_4AL_TGACv1_289868_AA0978150")</f>
        <v>TRIAE_CS42_4AL_TGACv1_289868_AA0978150</v>
      </c>
      <c r="F496" s="9" t="str">
        <f>HYPERLINK("http://mar2016-plants.ensembl.org/Triticum_aestivum/Gene/Summary?db=core;g=Traes_4AL_52A7262C9","Traes_4AL_52A7262C9")</f>
        <v>Traes_4AL_52A7262C9</v>
      </c>
      <c r="G496" t="s">
        <v>1008</v>
      </c>
      <c r="H496" s="8" t="str">
        <f>HYPERLINK("http://plants.ensembl.org/Brachypodium_distachyon/Gene/Summary?g=Bradi4g23367","Bradi4g23367")</f>
        <v>Bradi4g23367</v>
      </c>
      <c r="I496" s="8" t="str">
        <f>HYPERLINK("http://plants.ensembl.org/Arabidopsis_thaliana/Gene/Summary?g=AT3G52430","AT3G52430")</f>
        <v>AT3G52430</v>
      </c>
      <c r="J496" s="9" t="str">
        <f>HYPERLINK("http://plants.ensembl.org/Oryza_sativa/Gene/Summary?db=otherfeatures;g=LOC_Os11g09010","LOC_Os11g09010")</f>
        <v>LOC_Os11g09010</v>
      </c>
      <c r="K496" s="9" t="str">
        <f>HYPERLINK("http://plants.ensembl.org/Zea_mays/Gene/Summary?db=otherfeatures;g=GRMZM2G014071","GRMZM2G014071")</f>
        <v>GRMZM2G014071</v>
      </c>
      <c r="L496" s="6"/>
      <c r="M496">
        <v>1</v>
      </c>
      <c r="N496">
        <v>1</v>
      </c>
      <c r="O496" t="s">
        <v>973</v>
      </c>
      <c r="P496" t="s">
        <v>973</v>
      </c>
      <c r="S496">
        <v>1</v>
      </c>
      <c r="T496" s="6"/>
      <c r="U496" s="11">
        <v>10.731853040516466</v>
      </c>
      <c r="V496" s="11">
        <v>10.955594019568498</v>
      </c>
      <c r="W496" s="11">
        <v>9.4501462848231323</v>
      </c>
      <c r="X496" s="11">
        <v>9.4524999618233103</v>
      </c>
      <c r="Y496" s="11">
        <v>10.089754657529147</v>
      </c>
      <c r="Z496" s="11">
        <v>9.6738518908794333</v>
      </c>
      <c r="AA496" s="11">
        <v>9.7518920826290962</v>
      </c>
      <c r="AB496" s="11">
        <v>9.4201166543859021</v>
      </c>
      <c r="AC496" s="11">
        <v>7.8137653749180407</v>
      </c>
      <c r="AD496" s="11">
        <v>7.3411119573813099</v>
      </c>
      <c r="AE496" s="11">
        <v>7.6963372379201456</v>
      </c>
      <c r="AF496" s="11">
        <v>7.6153883400670361</v>
      </c>
      <c r="AG496" s="11">
        <v>7.3537843528823563</v>
      </c>
      <c r="AH496" s="11">
        <v>6.8977668163967341</v>
      </c>
      <c r="AI496" s="11">
        <v>8.0977256093471048</v>
      </c>
      <c r="AJ496" s="11">
        <v>7.171976043655742</v>
      </c>
      <c r="AK496" s="6"/>
      <c r="AL496" t="s">
        <v>1077</v>
      </c>
      <c r="AM496">
        <v>2429</v>
      </c>
      <c r="AN496" s="6"/>
      <c r="AO496" s="20">
        <v>2.9161000000000001</v>
      </c>
      <c r="AP496" s="20">
        <v>3.6657000000000002</v>
      </c>
      <c r="AQ496" s="20">
        <v>1.748</v>
      </c>
      <c r="AR496" s="20">
        <v>1.8228</v>
      </c>
      <c r="AS496" s="20">
        <v>2.7265999999999999</v>
      </c>
      <c r="AT496" s="20">
        <v>2.7671000000000001</v>
      </c>
      <c r="AU496" s="20">
        <v>1.6480999999999999</v>
      </c>
      <c r="AV496" s="20">
        <v>2.242</v>
      </c>
      <c r="AW496" s="6"/>
      <c r="AX496" s="18">
        <v>7.3539999999999995E-17</v>
      </c>
      <c r="AY496" s="18">
        <v>7.0169999999999994E-24</v>
      </c>
      <c r="AZ496" s="18">
        <v>5.4460000000000005E-7</v>
      </c>
      <c r="BA496" s="18">
        <v>1.875E-7</v>
      </c>
      <c r="BB496" s="18">
        <v>4.8340000000000001E-15</v>
      </c>
      <c r="BC496" s="18">
        <v>4.0830000000000003E-15</v>
      </c>
      <c r="BD496" s="18">
        <v>2.119E-6</v>
      </c>
      <c r="BE496" s="18">
        <v>1.6150000000000001E-10</v>
      </c>
      <c r="BF496" s="13"/>
      <c r="BG496" t="s">
        <v>1131</v>
      </c>
      <c r="BH496" t="s">
        <v>1211</v>
      </c>
      <c r="BI496" t="s">
        <v>1113</v>
      </c>
      <c r="BJ496" t="s">
        <v>1114</v>
      </c>
      <c r="BK496" t="s">
        <v>1115</v>
      </c>
      <c r="BL496" t="s">
        <v>1116</v>
      </c>
      <c r="BM496" t="s">
        <v>1117</v>
      </c>
      <c r="BN496" s="13"/>
      <c r="BO496" t="s">
        <v>973</v>
      </c>
      <c r="BP496" t="s">
        <v>973</v>
      </c>
      <c r="BQ496" t="s">
        <v>973</v>
      </c>
      <c r="BR496" t="s">
        <v>973</v>
      </c>
    </row>
    <row r="497" spans="1:70" x14ac:dyDescent="0.25">
      <c r="A497" t="s">
        <v>536</v>
      </c>
      <c r="B497" t="s">
        <v>494</v>
      </c>
      <c r="C497" t="s">
        <v>495</v>
      </c>
      <c r="D497" s="6"/>
      <c r="E497" s="9" t="str">
        <f>HYPERLINK("http://plants.ensembl.org/Triticum_aestivum/Gene/Summary?g=TRIAE_CS42_4BS_TGACv1_329973_AA1105190","TRIAE_CS42_4BS_TGACv1_329973_AA1105190")</f>
        <v>TRIAE_CS42_4BS_TGACv1_329973_AA1105190</v>
      </c>
      <c r="F497" s="9" t="str">
        <f>HYPERLINK("http://mar2016-plants.ensembl.org/Triticum_aestivum/Gene/Summary?db=core;g=Traes_4BS_B65D6CC31","Traes_4BS_B65D6CC31")</f>
        <v>Traes_4BS_B65D6CC31</v>
      </c>
      <c r="G497" t="s">
        <v>1008</v>
      </c>
      <c r="H497" s="8" t="str">
        <f>HYPERLINK("http://plants.ensembl.org/Brachypodium_distachyon/Gene/Summary?g=Bradi4g23367","Bradi4g23367")</f>
        <v>Bradi4g23367</v>
      </c>
      <c r="I497" s="8" t="str">
        <f>HYPERLINK("http://plants.ensembl.org/Arabidopsis_thaliana/Gene/Summary?g=AT3G52430","AT3G52430")</f>
        <v>AT3G52430</v>
      </c>
      <c r="J497" s="9" t="str">
        <f>HYPERLINK("http://plants.ensembl.org/Oryza_sativa/Gene/Summary?db=otherfeatures;g=LOC_Os11g09010","LOC_Os11g09010")</f>
        <v>LOC_Os11g09010</v>
      </c>
      <c r="K497" s="9" t="str">
        <f>HYPERLINK("http://plants.ensembl.org/Zea_mays/Gene/Summary?db=otherfeatures;g=GRMZM2G014071","GRMZM2G014071")</f>
        <v>GRMZM2G014071</v>
      </c>
      <c r="L497" s="6"/>
      <c r="M497">
        <v>1</v>
      </c>
      <c r="N497">
        <v>1</v>
      </c>
      <c r="O497" t="s">
        <v>973</v>
      </c>
      <c r="P497" t="s">
        <v>973</v>
      </c>
      <c r="S497">
        <v>1</v>
      </c>
      <c r="T497" s="6"/>
      <c r="U497" s="11">
        <v>10.414257225640915</v>
      </c>
      <c r="V497" s="11">
        <v>10.432813954632399</v>
      </c>
      <c r="W497" s="11">
        <v>9.1920750373986131</v>
      </c>
      <c r="X497" s="11">
        <v>9.0958177255209538</v>
      </c>
      <c r="Y497" s="11">
        <v>9.765788378054852</v>
      </c>
      <c r="Z497" s="11">
        <v>9.1207547180700992</v>
      </c>
      <c r="AA497" s="11">
        <v>9.3884224750169736</v>
      </c>
      <c r="AB497" s="11">
        <v>9.044122677711826</v>
      </c>
      <c r="AC497" s="11">
        <v>7.833784039286944</v>
      </c>
      <c r="AD497" s="11">
        <v>7.1593499891368673</v>
      </c>
      <c r="AE497" s="11">
        <v>7.7493724693759418</v>
      </c>
      <c r="AF497" s="11">
        <v>7.7496580623969589</v>
      </c>
      <c r="AG497" s="11">
        <v>7.50987843664217</v>
      </c>
      <c r="AH497" s="11">
        <v>6.9153993963016713</v>
      </c>
      <c r="AI497" s="11">
        <v>8.1176368683097451</v>
      </c>
      <c r="AJ497" s="11">
        <v>7.4989534251042995</v>
      </c>
      <c r="AK497" s="6"/>
      <c r="AL497" t="s">
        <v>1077</v>
      </c>
      <c r="AM497">
        <v>680</v>
      </c>
      <c r="AN497" s="6"/>
      <c r="AO497" s="20">
        <v>2.5870000000000002</v>
      </c>
      <c r="AP497" s="20">
        <v>3.2195999999999998</v>
      </c>
      <c r="AQ497" s="20">
        <v>1.4407000000000001</v>
      </c>
      <c r="AR497" s="20">
        <v>1.3408</v>
      </c>
      <c r="AS497" s="20">
        <v>2.2513999999999998</v>
      </c>
      <c r="AT497" s="20">
        <v>2.2046000000000001</v>
      </c>
      <c r="AU497" s="20">
        <v>1.2685999999999999</v>
      </c>
      <c r="AV497" s="20">
        <v>1.5434000000000001</v>
      </c>
      <c r="AW497" s="6"/>
      <c r="AX497" s="18">
        <v>7.253E-19</v>
      </c>
      <c r="AY497" s="18">
        <v>1.942E-25</v>
      </c>
      <c r="AZ497" s="18">
        <v>7.0969999999999996E-7</v>
      </c>
      <c r="BA497" s="18">
        <v>4.2119999999999997E-6</v>
      </c>
      <c r="BB497" s="18">
        <v>7.2979999999999999E-15</v>
      </c>
      <c r="BC497" s="18">
        <v>7.9870000000000004E-14</v>
      </c>
      <c r="BD497" s="18">
        <v>1.1409999999999999E-5</v>
      </c>
      <c r="BE497" s="18">
        <v>1.223E-7</v>
      </c>
      <c r="BF497" s="13"/>
      <c r="BG497" t="s">
        <v>1131</v>
      </c>
      <c r="BH497" t="s">
        <v>1144</v>
      </c>
      <c r="BI497" t="s">
        <v>1113</v>
      </c>
      <c r="BJ497" t="s">
        <v>1114</v>
      </c>
      <c r="BK497" t="s">
        <v>1115</v>
      </c>
      <c r="BL497" t="s">
        <v>1116</v>
      </c>
      <c r="BM497" t="s">
        <v>1117</v>
      </c>
      <c r="BN497" s="13"/>
      <c r="BO497" t="s">
        <v>973</v>
      </c>
      <c r="BP497" t="s">
        <v>973</v>
      </c>
      <c r="BQ497" t="s">
        <v>973</v>
      </c>
      <c r="BR497" t="s">
        <v>973</v>
      </c>
    </row>
    <row r="498" spans="1:70" x14ac:dyDescent="0.25">
      <c r="A498" t="s">
        <v>572</v>
      </c>
      <c r="B498" t="s">
        <v>494</v>
      </c>
      <c r="C498" t="s">
        <v>495</v>
      </c>
      <c r="D498" s="6"/>
      <c r="E498" s="9" t="str">
        <f>HYPERLINK("http://plants.ensembl.org/Triticum_aestivum/Gene/Summary?g=TRIAE_CS42_4DS_TGACv1_361988_AA1175370","TRIAE_CS42_4DS_TGACv1_361988_AA1175370")</f>
        <v>TRIAE_CS42_4DS_TGACv1_361988_AA1175370</v>
      </c>
      <c r="F498" s="9" t="str">
        <f>HYPERLINK("http://mar2016-plants.ensembl.org/Triticum_aestivum/Gene/Summary?db=core;g=Traes_4DS_51C30A490","Traes_4DS_51C30A490")</f>
        <v>Traes_4DS_51C30A490</v>
      </c>
      <c r="G498" t="s">
        <v>1008</v>
      </c>
      <c r="H498" s="8" t="str">
        <f>HYPERLINK("http://plants.ensembl.org/Brachypodium_distachyon/Gene/Summary?g=Bradi4g23367","Bradi4g23367")</f>
        <v>Bradi4g23367</v>
      </c>
      <c r="I498" s="8" t="str">
        <f>HYPERLINK("http://plants.ensembl.org/Arabidopsis_thaliana/Gene/Summary?g=AT3G52430","AT3G52430")</f>
        <v>AT3G52430</v>
      </c>
      <c r="J498" s="9" t="str">
        <f>HYPERLINK("http://plants.ensembl.org/Oryza_sativa/Gene/Summary?db=otherfeatures;g=LOC_Os11g09010","LOC_Os11g09010")</f>
        <v>LOC_Os11g09010</v>
      </c>
      <c r="K498" s="9" t="str">
        <f>HYPERLINK("http://plants.ensembl.org/Zea_mays/Gene/Summary?db=otherfeatures;g=GRMZM2G014071","GRMZM2G014071")</f>
        <v>GRMZM2G014071</v>
      </c>
      <c r="L498" s="6"/>
      <c r="M498">
        <v>1</v>
      </c>
      <c r="N498">
        <v>1</v>
      </c>
      <c r="O498" t="s">
        <v>973</v>
      </c>
      <c r="P498" t="s">
        <v>973</v>
      </c>
      <c r="S498">
        <v>1</v>
      </c>
      <c r="T498" s="6"/>
      <c r="U498" s="11">
        <v>10.860725178555693</v>
      </c>
      <c r="V498" s="11">
        <v>10.900535045554225</v>
      </c>
      <c r="W498" s="11">
        <v>9.7185087310599645</v>
      </c>
      <c r="X498" s="11">
        <v>9.5232077727690783</v>
      </c>
      <c r="Y498" s="11">
        <v>10.370407121905162</v>
      </c>
      <c r="Z498" s="11">
        <v>9.6626638068276787</v>
      </c>
      <c r="AA498" s="11">
        <v>10.093586936307172</v>
      </c>
      <c r="AB498" s="11">
        <v>9.4458615855882684</v>
      </c>
      <c r="AC498" s="11">
        <v>8.1675499477752798</v>
      </c>
      <c r="AD498" s="11">
        <v>7.6525111132616654</v>
      </c>
      <c r="AE498" s="11">
        <v>7.9551667005428452</v>
      </c>
      <c r="AF498" s="11">
        <v>7.9989074211594655</v>
      </c>
      <c r="AG498" s="11">
        <v>7.6182335156915064</v>
      </c>
      <c r="AH498" s="11">
        <v>7.2360416259728009</v>
      </c>
      <c r="AI498" s="11">
        <v>8.3267865960860785</v>
      </c>
      <c r="AJ498" s="11">
        <v>7.8582564489603444</v>
      </c>
      <c r="AK498" s="6"/>
      <c r="AL498" t="s">
        <v>1077</v>
      </c>
      <c r="AM498">
        <v>839</v>
      </c>
      <c r="AN498" s="6"/>
      <c r="AO498" s="20">
        <v>2.6945999999999999</v>
      </c>
      <c r="AP498" s="20">
        <v>3.2768000000000002</v>
      </c>
      <c r="AQ498" s="20">
        <v>1.7591000000000001</v>
      </c>
      <c r="AR498" s="20">
        <v>1.5162</v>
      </c>
      <c r="AS498" s="20">
        <v>2.7450000000000001</v>
      </c>
      <c r="AT498" s="20">
        <v>2.4203000000000001</v>
      </c>
      <c r="AU498" s="20">
        <v>1.7619</v>
      </c>
      <c r="AV498" s="20">
        <v>1.5842000000000001</v>
      </c>
      <c r="AW498" s="6"/>
      <c r="AX498" s="18">
        <v>7.6449999999999996E-19</v>
      </c>
      <c r="AY498" s="18">
        <v>5.2799999999999997E-25</v>
      </c>
      <c r="AZ498" s="18">
        <v>6.7240000000000004E-9</v>
      </c>
      <c r="BA498" s="18">
        <v>6.1519999999999995E-7</v>
      </c>
      <c r="BB498" s="18">
        <v>1.2019999999999999E-19</v>
      </c>
      <c r="BC498" s="18">
        <v>2.9189999999999999E-15</v>
      </c>
      <c r="BD498" s="18">
        <v>5.5089999999999999E-9</v>
      </c>
      <c r="BE498" s="18">
        <v>1.881E-7</v>
      </c>
      <c r="BF498" s="13"/>
      <c r="BG498" t="s">
        <v>1131</v>
      </c>
      <c r="BH498" t="s">
        <v>1211</v>
      </c>
      <c r="BI498" t="s">
        <v>1113</v>
      </c>
      <c r="BJ498" t="s">
        <v>1114</v>
      </c>
      <c r="BK498" t="s">
        <v>1115</v>
      </c>
      <c r="BL498" t="s">
        <v>1116</v>
      </c>
      <c r="BM498" t="s">
        <v>1117</v>
      </c>
      <c r="BN498" s="13"/>
      <c r="BO498" t="s">
        <v>973</v>
      </c>
      <c r="BP498" t="s">
        <v>973</v>
      </c>
      <c r="BQ498" t="s">
        <v>973</v>
      </c>
      <c r="BR498" t="s">
        <v>973</v>
      </c>
    </row>
    <row r="499" spans="1:70" x14ac:dyDescent="0.25">
      <c r="A499" t="s">
        <v>518</v>
      </c>
      <c r="B499" t="s">
        <v>519</v>
      </c>
      <c r="C499" t="s">
        <v>520</v>
      </c>
      <c r="D499" s="6"/>
      <c r="E499" s="9" t="str">
        <f>HYPERLINK("http://plants.ensembl.org/Triticum_aestivum/Gene/Summary?g=TRIAE_CS42_4AL_TGACv1_288915_AA0961290","TRIAE_CS42_4AL_TGACv1_288915_AA0961290")</f>
        <v>TRIAE_CS42_4AL_TGACv1_288915_AA0961290</v>
      </c>
      <c r="F499" s="9" t="str">
        <f>HYPERLINK("http://mar2016-plants.ensembl.org/Triticum_aestivum/Gene/Summary?db=core;g=Traes_4AL_4B411B3A7","Traes_4AL_4B411B3A7")</f>
        <v>Traes_4AL_4B411B3A7</v>
      </c>
      <c r="G499" t="s">
        <v>1009</v>
      </c>
      <c r="H499" s="8" t="str">
        <f>HYPERLINK("http://plants.ensembl.org/Brachypodium_distachyon/Gene/Summary?g=Bradi3g09110","Bradi3g09110")</f>
        <v>Bradi3g09110</v>
      </c>
      <c r="I499" s="8" t="str">
        <f>HYPERLINK("http://plants.ensembl.org/Arabidopsis_thaliana/Gene/Summary?g=AT5G19530","AT5G19530")</f>
        <v>AT5G19530</v>
      </c>
      <c r="J499" s="9" t="str">
        <f>HYPERLINK("http://plants.ensembl.org/Oryza_sativa/Gene/Summary?db=otherfeatures;g=LOC_Os02g14190","LOC_Os02g14190")</f>
        <v>LOC_Os02g14190</v>
      </c>
      <c r="L499" s="6"/>
      <c r="M499" t="s">
        <v>973</v>
      </c>
      <c r="N499" t="s">
        <v>973</v>
      </c>
      <c r="O499" t="s">
        <v>973</v>
      </c>
      <c r="P499">
        <v>1</v>
      </c>
      <c r="S499" t="s">
        <v>973</v>
      </c>
      <c r="T499" s="6"/>
      <c r="U499" s="11">
        <v>4.9207283936020296</v>
      </c>
      <c r="V499" s="11">
        <v>4.5589308600352565</v>
      </c>
      <c r="W499" s="11">
        <v>3.6772263282353168</v>
      </c>
      <c r="X499" s="11">
        <v>2.612258124772064</v>
      </c>
      <c r="Y499" s="11">
        <v>2.724584792408574</v>
      </c>
      <c r="Z499" s="11">
        <v>3.8238104901589582</v>
      </c>
      <c r="AA499" s="11">
        <v>7.6530619284639778</v>
      </c>
      <c r="AB499" s="11">
        <v>7.671281104614442</v>
      </c>
      <c r="AC499" s="11">
        <v>6.4782292406193553</v>
      </c>
      <c r="AD499" s="11">
        <v>6.7178399877685697</v>
      </c>
      <c r="AE499" s="11">
        <v>4.5380807824661131</v>
      </c>
      <c r="AF499" s="11">
        <v>3.4101511209751942</v>
      </c>
      <c r="AG499" s="11">
        <v>4.6756465908304019</v>
      </c>
      <c r="AH499" s="11">
        <v>4.6900631765014156</v>
      </c>
      <c r="AI499" s="11">
        <v>8.5381364106582467</v>
      </c>
      <c r="AJ499" s="11">
        <v>8.3729100302978399</v>
      </c>
      <c r="AK499" s="6"/>
      <c r="AL499" t="s">
        <v>1087</v>
      </c>
      <c r="AM499">
        <v>0</v>
      </c>
      <c r="AN499" s="6"/>
      <c r="AO499" s="20">
        <v>-1.6632</v>
      </c>
      <c r="AP499" s="20">
        <v>-2.5552000000000001</v>
      </c>
      <c r="AQ499" s="20">
        <v>-0.90280000000000005</v>
      </c>
      <c r="AR499" s="20">
        <v>-0.96579999999999999</v>
      </c>
      <c r="AS499" s="20">
        <v>-2.0718999999999999</v>
      </c>
      <c r="AT499" s="20">
        <v>-0.91890000000000005</v>
      </c>
      <c r="AU499" s="20">
        <v>-0.88400000000000001</v>
      </c>
      <c r="AV499" s="20">
        <v>-0.70189999999999997</v>
      </c>
      <c r="AW499" s="6"/>
      <c r="AX499" s="18">
        <v>1.3570000000000001E-6</v>
      </c>
      <c r="AY499" s="18">
        <v>6.0660000000000002E-8</v>
      </c>
      <c r="AZ499" s="18">
        <v>1.2619999999999999E-2</v>
      </c>
      <c r="BA499" s="18">
        <v>4.7050000000000002E-2</v>
      </c>
      <c r="BB499" s="18">
        <v>1.28E-6</v>
      </c>
      <c r="BC499" s="18">
        <v>9.894E-3</v>
      </c>
      <c r="BD499" s="18">
        <v>6.8630000000000004E-4</v>
      </c>
      <c r="BE499" s="18">
        <v>7.522E-3</v>
      </c>
      <c r="BF499" s="13"/>
      <c r="BG499" t="s">
        <v>1128</v>
      </c>
      <c r="BH499" t="s">
        <v>1129</v>
      </c>
      <c r="BI499" t="s">
        <v>1403</v>
      </c>
      <c r="BJ499" t="s">
        <v>1114</v>
      </c>
      <c r="BK499" t="s">
        <v>1115</v>
      </c>
      <c r="BL499" t="s">
        <v>1160</v>
      </c>
      <c r="BM499" t="s">
        <v>1184</v>
      </c>
      <c r="BN499" s="13"/>
      <c r="BO499" t="s">
        <v>973</v>
      </c>
      <c r="BP499" t="s">
        <v>973</v>
      </c>
      <c r="BQ499" t="s">
        <v>973</v>
      </c>
      <c r="BR499" t="s">
        <v>973</v>
      </c>
    </row>
    <row r="500" spans="1:70" x14ac:dyDescent="0.25">
      <c r="A500" t="s">
        <v>482</v>
      </c>
      <c r="B500" t="s">
        <v>483</v>
      </c>
      <c r="C500" t="s">
        <v>484</v>
      </c>
      <c r="D500" s="6"/>
      <c r="E500" s="9" t="str">
        <f>HYPERLINK("http://plants.ensembl.org/Triticum_aestivum/Gene/Summary?g=TRIAE_CS42_4AS_TGACv1_307707_AA1022890","TRIAE_CS42_4AS_TGACv1_307707_AA1022890")</f>
        <v>TRIAE_CS42_4AS_TGACv1_307707_AA1022890</v>
      </c>
      <c r="F500" s="9" t="str">
        <f>HYPERLINK("http://mar2016-plants.ensembl.org/Triticum_aestivum/Gene/Summary?db=core;g=Traes_4AS_2BDA1260C","Traes_4AS_2BDA1260C")</f>
        <v>Traes_4AS_2BDA1260C</v>
      </c>
      <c r="H500" s="8" t="str">
        <f>HYPERLINK("http://plants.ensembl.org/Brachypodium_distachyon/Gene/Summary?g=Bradi1g63780","Bradi1g63780")</f>
        <v>Bradi1g63780</v>
      </c>
      <c r="I500" s="8" t="str">
        <f>HYPERLINK("http://plants.ensembl.org/Arabidopsis_thaliana/Gene/Summary?g=AT3G20770","AT3G20770")</f>
        <v>AT3G20770</v>
      </c>
      <c r="J500" s="9" t="str">
        <f>HYPERLINK("http://plants.ensembl.org/Oryza_sativa/Gene/Summary?db=otherfeatures;g=LOC_Os03g20790","LOC_Os03g20790")</f>
        <v>LOC_Os03g20790</v>
      </c>
      <c r="L500" s="6"/>
      <c r="M500" s="1" t="s">
        <v>973</v>
      </c>
      <c r="N500" s="1" t="s">
        <v>973</v>
      </c>
      <c r="O500" s="1">
        <v>1</v>
      </c>
      <c r="P500" s="1" t="s">
        <v>973</v>
      </c>
      <c r="Q500" s="1" t="s">
        <v>973</v>
      </c>
      <c r="R500" s="1" t="s">
        <v>973</v>
      </c>
      <c r="S500" s="1"/>
      <c r="T500" s="6"/>
      <c r="U500" s="11">
        <v>9.5476299568379321</v>
      </c>
      <c r="V500" s="11">
        <v>9.873724113782421</v>
      </c>
      <c r="W500" s="11">
        <v>8.9110894346062324</v>
      </c>
      <c r="X500" s="11">
        <v>9.0980792944710007</v>
      </c>
      <c r="Y500" s="11">
        <v>9.0676051972861238</v>
      </c>
      <c r="Z500" s="11">
        <v>8.9923276217585766</v>
      </c>
      <c r="AA500" s="11">
        <v>9.2289622315114013</v>
      </c>
      <c r="AB500" s="11">
        <v>9.3176583183284123</v>
      </c>
      <c r="AC500" s="11">
        <v>8.5592173558713398</v>
      </c>
      <c r="AD500" s="11">
        <v>9.3223506224300969</v>
      </c>
      <c r="AE500" s="11">
        <v>8.028945541597599</v>
      </c>
      <c r="AF500" s="11">
        <v>8.398986186812488</v>
      </c>
      <c r="AG500" s="11">
        <v>8.5560269927246768</v>
      </c>
      <c r="AH500" s="11">
        <v>8.3237773159020936</v>
      </c>
      <c r="AI500" s="11">
        <v>8.4397605305424008</v>
      </c>
      <c r="AJ500" s="11">
        <v>8.0503680076068314</v>
      </c>
      <c r="AK500" s="6"/>
      <c r="AL500" t="s">
        <v>1077</v>
      </c>
      <c r="AM500">
        <v>1</v>
      </c>
      <c r="AN500" s="6"/>
      <c r="AO500" s="20">
        <v>0.99570000000000003</v>
      </c>
      <c r="AP500" s="20">
        <v>0.54249999999999998</v>
      </c>
      <c r="AQ500" s="20">
        <v>0.87970000000000004</v>
      </c>
      <c r="AR500" s="20">
        <v>0.69230000000000003</v>
      </c>
      <c r="AS500" s="20">
        <v>0.50970000000000004</v>
      </c>
      <c r="AT500" s="20">
        <v>0.6673</v>
      </c>
      <c r="AU500" s="20">
        <v>0.78710000000000002</v>
      </c>
      <c r="AV500" s="20">
        <v>1.2643</v>
      </c>
      <c r="AW500" s="6"/>
      <c r="AX500" s="18">
        <v>1.201E-3</v>
      </c>
      <c r="AY500" s="18">
        <v>8.2619999999999999E-2</v>
      </c>
      <c r="AZ500" s="18">
        <v>4.0759999999999998E-3</v>
      </c>
      <c r="BA500" s="18">
        <v>2.3599999999999999E-2</v>
      </c>
      <c r="BB500" s="18">
        <v>9.4280000000000003E-2</v>
      </c>
      <c r="BC500" s="18">
        <v>2.9180000000000001E-2</v>
      </c>
      <c r="BD500" s="18">
        <v>9.8080000000000007E-3</v>
      </c>
      <c r="BE500" s="18">
        <v>3.5989999999999999E-5</v>
      </c>
      <c r="BF500" s="13"/>
      <c r="BG500" t="s">
        <v>1344</v>
      </c>
      <c r="BH500" t="s">
        <v>1112</v>
      </c>
      <c r="BI500" t="s">
        <v>1221</v>
      </c>
      <c r="BJ500" t="s">
        <v>1114</v>
      </c>
      <c r="BK500" t="s">
        <v>1115</v>
      </c>
      <c r="BL500" t="s">
        <v>1116</v>
      </c>
      <c r="BM500" t="s">
        <v>1117</v>
      </c>
      <c r="BN500" s="13"/>
      <c r="BO500" t="s">
        <v>973</v>
      </c>
      <c r="BP500" t="s">
        <v>973</v>
      </c>
      <c r="BQ500" t="s">
        <v>973</v>
      </c>
      <c r="BR500" t="s">
        <v>973</v>
      </c>
    </row>
    <row r="501" spans="1:70" x14ac:dyDescent="0.25">
      <c r="A501" t="s">
        <v>527</v>
      </c>
      <c r="B501" t="s">
        <v>528</v>
      </c>
      <c r="C501" t="s">
        <v>42</v>
      </c>
      <c r="D501" s="6"/>
      <c r="E501" s="9" t="str">
        <f>HYPERLINK("http://plants.ensembl.org/Triticum_aestivum/Gene/Summary?g=TRIAE_CS42_4BS_TGACv1_328099_AA1082800","TRIAE_CS42_4BS_TGACv1_328099_AA1082800")</f>
        <v>TRIAE_CS42_4BS_TGACv1_328099_AA1082800</v>
      </c>
      <c r="F501" s="9"/>
      <c r="G501" t="s">
        <v>1048</v>
      </c>
      <c r="H501" s="8" t="str">
        <f>HYPERLINK("http://plants.ensembl.org/Brachypodium_distachyon/Gene/Summary?g=Bradi4g38400","Bradi4g38400")</f>
        <v>Bradi4g38400</v>
      </c>
      <c r="I501" s="8" t="str">
        <f>HYPERLINK("http://plants.ensembl.org/Arabidopsis_thaliana/Gene/Summary?g=AT5G03730","AT5G03730")</f>
        <v>AT5G03730</v>
      </c>
      <c r="J501" s="9" t="str">
        <f>HYPERLINK("http://plants.ensembl.org/Oryza_sativa/Gene/Summary?db=otherfeatures;g=LOC_Os09g39320","LOC_Os09g39320")</f>
        <v>LOC_Os09g39320</v>
      </c>
      <c r="K501" s="9" t="str">
        <f>HYPERLINK("http://plants.ensembl.org/Zea_mays/Gene/Summary?db=otherfeatures;g=GRMZM2G059671","GRMZM2G059671")</f>
        <v>GRMZM2G059671</v>
      </c>
      <c r="L501" s="6"/>
      <c r="M501" t="s">
        <v>973</v>
      </c>
      <c r="N501" t="s">
        <v>973</v>
      </c>
      <c r="O501">
        <v>1</v>
      </c>
      <c r="P501" t="s">
        <v>973</v>
      </c>
      <c r="S501" t="s">
        <v>973</v>
      </c>
      <c r="T501" s="6"/>
      <c r="U501" s="11">
        <v>7.7293218645775505</v>
      </c>
      <c r="V501" s="11">
        <v>8.2801259748678682</v>
      </c>
      <c r="W501" s="11">
        <v>8.5718400998950202</v>
      </c>
      <c r="X501" s="11">
        <v>9.021031684304603</v>
      </c>
      <c r="Y501" s="11">
        <v>8.483065622641222</v>
      </c>
      <c r="Z501" s="11">
        <v>8.4895338374212344</v>
      </c>
      <c r="AA501" s="11">
        <v>8.0282342967050759</v>
      </c>
      <c r="AB501" s="11">
        <v>8.9028989322498546</v>
      </c>
      <c r="AC501" s="11">
        <v>7.3869290398824177</v>
      </c>
      <c r="AD501" s="11">
        <v>7.195966635240568</v>
      </c>
      <c r="AE501" s="11">
        <v>8.1616211823182123</v>
      </c>
      <c r="AF501" s="11">
        <v>8.0718600768105517</v>
      </c>
      <c r="AG501" s="11">
        <v>8.0644916519958123</v>
      </c>
      <c r="AH501" s="11">
        <v>7.7896749189233994</v>
      </c>
      <c r="AI501" s="11">
        <v>8.1509816870871266</v>
      </c>
      <c r="AJ501" s="11">
        <v>8.3148085899512019</v>
      </c>
      <c r="AK501" s="6"/>
      <c r="AL501" t="s">
        <v>1085</v>
      </c>
      <c r="AM501">
        <v>0</v>
      </c>
      <c r="AN501" s="6"/>
      <c r="AO501" s="20">
        <v>0.37790000000000001</v>
      </c>
      <c r="AP501" s="20">
        <v>1.0075000000000001</v>
      </c>
      <c r="AQ501" s="20">
        <v>0.41020000000000001</v>
      </c>
      <c r="AR501" s="20">
        <v>0.95520000000000005</v>
      </c>
      <c r="AS501" s="20">
        <v>0.42059999999999997</v>
      </c>
      <c r="AT501" s="20">
        <v>0.70089999999999997</v>
      </c>
      <c r="AU501" s="20">
        <v>-0.1242</v>
      </c>
      <c r="AV501" s="20">
        <v>0.58799999999999997</v>
      </c>
      <c r="AW501" s="6"/>
      <c r="AX501" s="18">
        <v>6.4589999999999995E-2</v>
      </c>
      <c r="AY501" s="18">
        <v>6.1739999999999997E-6</v>
      </c>
      <c r="AZ501" s="18">
        <v>2.7189999999999999E-2</v>
      </c>
      <c r="BA501" s="18">
        <v>2.8770000000000002E-7</v>
      </c>
      <c r="BB501" s="18">
        <v>2.3259999999999999E-2</v>
      </c>
      <c r="BC501" s="18">
        <v>2.0029999999999999E-4</v>
      </c>
      <c r="BD501" s="18">
        <v>0.50560000000000005</v>
      </c>
      <c r="BE501" s="18">
        <v>1.48E-3</v>
      </c>
      <c r="BF501" s="13"/>
      <c r="BG501" t="s">
        <v>1125</v>
      </c>
      <c r="BH501" t="s">
        <v>1112</v>
      </c>
      <c r="BI501" t="s">
        <v>1181</v>
      </c>
      <c r="BJ501" t="s">
        <v>1114</v>
      </c>
      <c r="BK501" t="s">
        <v>1115</v>
      </c>
      <c r="BL501" t="s">
        <v>1116</v>
      </c>
      <c r="BM501" t="s">
        <v>1117</v>
      </c>
      <c r="BN501" s="13"/>
      <c r="BO501" t="s">
        <v>973</v>
      </c>
      <c r="BP501" t="s">
        <v>973</v>
      </c>
      <c r="BQ501" t="s">
        <v>973</v>
      </c>
      <c r="BR501" t="s">
        <v>973</v>
      </c>
    </row>
    <row r="502" spans="1:70" x14ac:dyDescent="0.25">
      <c r="A502" t="s">
        <v>135</v>
      </c>
      <c r="B502" t="s">
        <v>136</v>
      </c>
      <c r="C502" t="s">
        <v>137</v>
      </c>
      <c r="D502" s="6"/>
      <c r="E502" s="9" t="str">
        <f>HYPERLINK("http://plants.ensembl.org/Triticum_aestivum/Gene/Summary?g=TRIAE_CS42_2AS_TGACv1_113767_AA0360270","TRIAE_CS42_2AS_TGACv1_113767_AA0360270")</f>
        <v>TRIAE_CS42_2AS_TGACv1_113767_AA0360270</v>
      </c>
      <c r="F502" s="9" t="str">
        <f>HYPERLINK("http://mar2016-plants.ensembl.org/Triticum_aestivum/Gene/Summary?db=core;g=Traes_2AS_453A4515C","Traes_2AS_453A4515C")</f>
        <v>Traes_2AS_453A4515C</v>
      </c>
      <c r="G502" t="s">
        <v>982</v>
      </c>
      <c r="H502" s="8" t="str">
        <f>HYPERLINK("http://plants.ensembl.org/Brachypodium_distachyon/Gene/Summary?g=Bradi1g20390","Bradi1g20390")</f>
        <v>Bradi1g20390</v>
      </c>
      <c r="I502" s="8" t="str">
        <f>HYPERLINK("http://plants.ensembl.org/Arabidopsis_thaliana/Gene/Summary?g=AT1G14000","AT1G14000")</f>
        <v>AT1G14000</v>
      </c>
      <c r="J502" s="9" t="str">
        <f>HYPERLINK("http://plants.ensembl.org/Oryza_sativa/Gene/Summary?db=otherfeatures;g=LOC_Os07g43900","LOC_Os07g43900")</f>
        <v>LOC_Os07g43900</v>
      </c>
      <c r="K502" s="9" t="str">
        <f>HYPERLINK("http://plants.ensembl.org/Zea_mays/Gene/Summary?db=otherfeatures;g=GRMZM2G159034","GRMZM2G159034")</f>
        <v>GRMZM2G159034</v>
      </c>
      <c r="L502" s="6"/>
      <c r="M502">
        <v>1</v>
      </c>
      <c r="N502">
        <v>1</v>
      </c>
      <c r="O502">
        <v>1</v>
      </c>
      <c r="P502">
        <v>1</v>
      </c>
      <c r="S502" t="s">
        <v>973</v>
      </c>
      <c r="T502" s="6"/>
      <c r="U502" s="11">
        <v>7.5802208741258452</v>
      </c>
      <c r="V502" s="11">
        <v>8.3161537391375298</v>
      </c>
      <c r="W502" s="11">
        <v>6.9577768830741276</v>
      </c>
      <c r="X502" s="11">
        <v>7.1390881149471177</v>
      </c>
      <c r="Y502" s="11">
        <v>7.1477815484512659</v>
      </c>
      <c r="Z502" s="11">
        <v>6.8895080194803926</v>
      </c>
      <c r="AA502" s="11">
        <v>7.1386155140682517</v>
      </c>
      <c r="AB502" s="11">
        <v>7.2134999037959737</v>
      </c>
      <c r="AC502" s="11">
        <v>7.4871140831733971</v>
      </c>
      <c r="AD502" s="11">
        <v>6.3155988340469813</v>
      </c>
      <c r="AE502" s="11">
        <v>6.5628015828144193</v>
      </c>
      <c r="AF502" s="11">
        <v>6.5147624389981162</v>
      </c>
      <c r="AG502" s="11">
        <v>6.6402565066624915</v>
      </c>
      <c r="AH502" s="11">
        <v>6.2179357322308402</v>
      </c>
      <c r="AI502" s="11">
        <v>7.0964677890373542</v>
      </c>
      <c r="AJ502" s="11">
        <v>7.0967868263248528</v>
      </c>
      <c r="AK502" s="6"/>
      <c r="AL502" t="s">
        <v>1090</v>
      </c>
      <c r="AM502">
        <v>0</v>
      </c>
      <c r="AN502" s="6"/>
      <c r="AO502" s="20">
        <v>0.1018</v>
      </c>
      <c r="AP502" s="20">
        <v>2.0226999999999999</v>
      </c>
      <c r="AQ502" s="20">
        <v>0.39560000000000001</v>
      </c>
      <c r="AR502" s="20">
        <v>0.64770000000000005</v>
      </c>
      <c r="AS502" s="20">
        <v>0.51319999999999999</v>
      </c>
      <c r="AT502" s="20">
        <v>0.67789999999999995</v>
      </c>
      <c r="AU502" s="20">
        <v>3.8399999999999997E-2</v>
      </c>
      <c r="AV502" s="20">
        <v>0.1186</v>
      </c>
      <c r="AW502" s="6"/>
      <c r="AX502" s="18">
        <v>0.68820000000000003</v>
      </c>
      <c r="AY502" s="18">
        <v>7.3950000000000003E-13</v>
      </c>
      <c r="AZ502" s="18">
        <v>0.1148</v>
      </c>
      <c r="BA502" s="18">
        <v>1.044E-2</v>
      </c>
      <c r="BB502" s="18">
        <v>3.7900000000000003E-2</v>
      </c>
      <c r="BC502" s="18">
        <v>8.2819999999999994E-3</v>
      </c>
      <c r="BD502" s="18">
        <v>0.87529999999999997</v>
      </c>
      <c r="BE502" s="18">
        <v>0.63180000000000003</v>
      </c>
      <c r="BF502" s="13"/>
      <c r="BG502" t="s">
        <v>1125</v>
      </c>
      <c r="BH502" t="s">
        <v>1126</v>
      </c>
      <c r="BI502" t="s">
        <v>1113</v>
      </c>
      <c r="BJ502" t="s">
        <v>1114</v>
      </c>
      <c r="BK502" t="s">
        <v>1182</v>
      </c>
      <c r="BL502" t="s">
        <v>1116</v>
      </c>
      <c r="BM502" t="s">
        <v>1117</v>
      </c>
      <c r="BN502" s="13"/>
      <c r="BO502" t="s">
        <v>973</v>
      </c>
      <c r="BP502">
        <v>1</v>
      </c>
      <c r="BQ502" t="s">
        <v>973</v>
      </c>
      <c r="BR502" t="s">
        <v>973</v>
      </c>
    </row>
    <row r="503" spans="1:70" x14ac:dyDescent="0.25">
      <c r="A503" t="s">
        <v>773</v>
      </c>
      <c r="B503" t="s">
        <v>774</v>
      </c>
      <c r="C503" t="s">
        <v>137</v>
      </c>
      <c r="D503" s="6"/>
      <c r="E503" s="9" t="str">
        <f>HYPERLINK("http://plants.ensembl.org/Triticum_aestivum/Gene/Summary?g=TRIAE_CS42_6AS_TGACv1_485439_AA1545470","TRIAE_CS42_6AS_TGACv1_485439_AA1545470")</f>
        <v>TRIAE_CS42_6AS_TGACv1_485439_AA1545470</v>
      </c>
      <c r="F503" s="9" t="str">
        <f>HYPERLINK("http://mar2016-plants.ensembl.org/Triticum_aestivum/Gene/Summary?db=core;g=Traes_6AS_B6522EDBF","Traes_6AS_B6522EDBF")</f>
        <v>Traes_6AS_B6522EDBF</v>
      </c>
      <c r="H503" s="8" t="str">
        <f>HYPERLINK("http://plants.ensembl.org/Brachypodium_distachyon/Gene/Summary?g=Bradi3g09170","Bradi3g09170")</f>
        <v>Bradi3g09170</v>
      </c>
      <c r="I503" s="1" t="s">
        <v>1051</v>
      </c>
      <c r="J503" s="9" t="str">
        <f>HYPERLINK("http://plants.ensembl.org/Oryza_sativa/Gene/Summary?db=otherfeatures;g=LOC_Os02g14530","LOC_Os02g14530")</f>
        <v>LOC_Os02g14530</v>
      </c>
      <c r="L503" s="6"/>
      <c r="M503" s="1" t="s">
        <v>973</v>
      </c>
      <c r="N503" s="1" t="s">
        <v>973</v>
      </c>
      <c r="O503" s="1">
        <v>1</v>
      </c>
      <c r="P503" s="1" t="s">
        <v>973</v>
      </c>
      <c r="Q503" s="1" t="s">
        <v>973</v>
      </c>
      <c r="R503" s="1" t="s">
        <v>973</v>
      </c>
      <c r="S503" s="1"/>
      <c r="T503" s="6"/>
      <c r="U503" s="11">
        <v>7.4212045008592327</v>
      </c>
      <c r="V503" s="11">
        <v>5.8061092011725428</v>
      </c>
      <c r="W503" s="11">
        <v>7.3371508866376951</v>
      </c>
      <c r="X503" s="11">
        <v>6.8848966200820376</v>
      </c>
      <c r="Y503" s="11">
        <v>7.2403197362494378</v>
      </c>
      <c r="Z503" s="11">
        <v>7.0961398941746747</v>
      </c>
      <c r="AA503" s="11">
        <v>6.4067327984565905</v>
      </c>
      <c r="AB503" s="11">
        <v>6.7593036651749374</v>
      </c>
      <c r="AC503" s="11">
        <v>7.5019411878580113</v>
      </c>
      <c r="AD503" s="11">
        <v>6.9745816994728864</v>
      </c>
      <c r="AE503" s="11">
        <v>7.3308445922043566</v>
      </c>
      <c r="AF503" s="11">
        <v>7.2019761992640321</v>
      </c>
      <c r="AG503" s="11">
        <v>7.4765048233983373</v>
      </c>
      <c r="AH503" s="11">
        <v>7.1971678651262252</v>
      </c>
      <c r="AI503" s="11">
        <v>7.2779723529592317</v>
      </c>
      <c r="AJ503" s="11">
        <v>7.3490889303925462</v>
      </c>
      <c r="AK503" s="6"/>
      <c r="AL503" t="s">
        <v>1076</v>
      </c>
      <c r="AM503">
        <v>0</v>
      </c>
      <c r="AN503" s="6"/>
      <c r="AO503" s="20">
        <v>-1.7500000000000002E-2</v>
      </c>
      <c r="AP503" s="20">
        <v>-1.1142000000000001</v>
      </c>
      <c r="AQ503" s="20">
        <v>6.8999999999999999E-3</v>
      </c>
      <c r="AR503" s="20">
        <v>-0.31359999999999999</v>
      </c>
      <c r="AS503" s="20">
        <v>-0.23549999999999999</v>
      </c>
      <c r="AT503" s="20">
        <v>-0.10979999999999999</v>
      </c>
      <c r="AU503" s="20">
        <v>-0.87819999999999998</v>
      </c>
      <c r="AV503" s="20">
        <v>-0.59130000000000005</v>
      </c>
      <c r="AW503" s="6"/>
      <c r="AX503" s="18">
        <v>0.94220000000000004</v>
      </c>
      <c r="AY503" s="18">
        <v>4.5619999999999998E-4</v>
      </c>
      <c r="AZ503" s="18">
        <v>0.97599999999999998</v>
      </c>
      <c r="BA503" s="18">
        <v>0.18340000000000001</v>
      </c>
      <c r="BB503" s="18">
        <v>0.30420000000000003</v>
      </c>
      <c r="BC503" s="18">
        <v>0.6381</v>
      </c>
      <c r="BD503" s="18">
        <v>1.8009999999999999E-4</v>
      </c>
      <c r="BE503" s="18">
        <v>1.2149999999999999E-2</v>
      </c>
      <c r="BF503" s="13"/>
      <c r="BG503" t="s">
        <v>1128</v>
      </c>
      <c r="BH503" t="s">
        <v>1351</v>
      </c>
      <c r="BI503" t="s">
        <v>1113</v>
      </c>
      <c r="BJ503" t="s">
        <v>1148</v>
      </c>
      <c r="BK503" t="s">
        <v>1115</v>
      </c>
      <c r="BL503" t="s">
        <v>1116</v>
      </c>
      <c r="BM503" t="s">
        <v>1117</v>
      </c>
      <c r="BN503" s="13"/>
      <c r="BO503" t="s">
        <v>973</v>
      </c>
      <c r="BP503" t="s">
        <v>973</v>
      </c>
      <c r="BQ503" t="s">
        <v>973</v>
      </c>
      <c r="BR503" t="s">
        <v>973</v>
      </c>
    </row>
    <row r="504" spans="1:70" x14ac:dyDescent="0.25">
      <c r="A504" t="s">
        <v>810</v>
      </c>
      <c r="B504" t="s">
        <v>774</v>
      </c>
      <c r="C504" t="s">
        <v>137</v>
      </c>
      <c r="D504" s="6"/>
      <c r="E504" s="9" t="str">
        <f>HYPERLINK("http://plants.ensembl.org/Triticum_aestivum/Gene/Summary?g=TRIAE_CS42_6BS_TGACv1_513496_AA1643410","TRIAE_CS42_6BS_TGACv1_513496_AA1643410")</f>
        <v>TRIAE_CS42_6BS_TGACv1_513496_AA1643410</v>
      </c>
      <c r="F504" s="9" t="str">
        <f>HYPERLINK("http://mar2016-plants.ensembl.org/Triticum_aestivum/Gene/Summary?db=core;g=Traes_6AS_AF8F7FABF","Traes_6AS_AF8F7FABF")</f>
        <v>Traes_6AS_AF8F7FABF</v>
      </c>
      <c r="H504" s="8" t="str">
        <f>HYPERLINK("http://plants.ensembl.org/Brachypodium_distachyon/Gene/Summary?g=Bradi3g09170","Bradi3g09170")</f>
        <v>Bradi3g09170</v>
      </c>
      <c r="I504" s="1" t="s">
        <v>1051</v>
      </c>
      <c r="J504" s="9" t="str">
        <f>HYPERLINK("http://plants.ensembl.org/Oryza_sativa/Gene/Summary?db=otherfeatures;g=LOC_Os02g14530","LOC_Os02g14530")</f>
        <v>LOC_Os02g14530</v>
      </c>
      <c r="L504" s="6"/>
      <c r="M504" s="1" t="s">
        <v>973</v>
      </c>
      <c r="N504" s="1" t="s">
        <v>973</v>
      </c>
      <c r="O504" s="1">
        <v>1</v>
      </c>
      <c r="P504" s="1" t="s">
        <v>973</v>
      </c>
      <c r="Q504" s="1" t="s">
        <v>973</v>
      </c>
      <c r="R504" s="1" t="s">
        <v>973</v>
      </c>
      <c r="S504" s="1"/>
      <c r="T504" s="6"/>
      <c r="U504" s="11">
        <v>8.04374348478947</v>
      </c>
      <c r="V504" s="11">
        <v>6.8713812353238177</v>
      </c>
      <c r="W504" s="11">
        <v>8.1768232337124971</v>
      </c>
      <c r="X504" s="11">
        <v>7.7577735657919886</v>
      </c>
      <c r="Y504" s="11">
        <v>8.0331381053809423</v>
      </c>
      <c r="Z504" s="11">
        <v>7.8452907779980405</v>
      </c>
      <c r="AA504" s="11">
        <v>7.2886043433159102</v>
      </c>
      <c r="AB504" s="11">
        <v>7.7879993886144989</v>
      </c>
      <c r="AC504" s="11">
        <v>8.0621846873732164</v>
      </c>
      <c r="AD504" s="11">
        <v>7.3865008693447223</v>
      </c>
      <c r="AE504" s="11">
        <v>8.0609999282749332</v>
      </c>
      <c r="AF504" s="11">
        <v>7.9390629642627246</v>
      </c>
      <c r="AG504" s="11">
        <v>8.1568939270655303</v>
      </c>
      <c r="AH504" s="11">
        <v>7.9495055574548443</v>
      </c>
      <c r="AI504" s="11">
        <v>8.1632897330001128</v>
      </c>
      <c r="AJ504" s="11">
        <v>7.965290606142009</v>
      </c>
      <c r="AK504" s="6"/>
      <c r="AL504" t="s">
        <v>1076</v>
      </c>
      <c r="AM504">
        <v>0</v>
      </c>
      <c r="AN504" s="6"/>
      <c r="AO504" s="20">
        <v>-6.0000000000000001E-3</v>
      </c>
      <c r="AP504" s="20">
        <v>-0.4526</v>
      </c>
      <c r="AQ504" s="20">
        <v>0.1148</v>
      </c>
      <c r="AR504" s="20">
        <v>-0.17169999999999999</v>
      </c>
      <c r="AS504" s="20">
        <v>-0.1236</v>
      </c>
      <c r="AT504" s="20">
        <v>-0.1089</v>
      </c>
      <c r="AU504" s="20">
        <v>-0.878</v>
      </c>
      <c r="AV504" s="20">
        <v>-0.17810000000000001</v>
      </c>
      <c r="AW504" s="6"/>
      <c r="AX504" s="18">
        <v>0.97689999999999999</v>
      </c>
      <c r="AY504" s="18">
        <v>7.0709999999999995E-2</v>
      </c>
      <c r="AZ504" s="18">
        <v>0.55579999999999996</v>
      </c>
      <c r="BA504" s="18">
        <v>0.38700000000000001</v>
      </c>
      <c r="BB504" s="18">
        <v>0.52500000000000002</v>
      </c>
      <c r="BC504" s="18">
        <v>0.58130000000000004</v>
      </c>
      <c r="BD504" s="18">
        <v>8.3250000000000008E-6</v>
      </c>
      <c r="BE504" s="18">
        <v>0.36840000000000001</v>
      </c>
      <c r="BF504" s="13"/>
      <c r="BG504" t="s">
        <v>1111</v>
      </c>
      <c r="BH504" t="s">
        <v>1112</v>
      </c>
      <c r="BI504" t="s">
        <v>1113</v>
      </c>
      <c r="BJ504" t="s">
        <v>1148</v>
      </c>
      <c r="BK504" t="s">
        <v>1115</v>
      </c>
      <c r="BL504" t="s">
        <v>1116</v>
      </c>
      <c r="BM504" t="s">
        <v>1117</v>
      </c>
      <c r="BN504" s="13"/>
      <c r="BO504" t="s">
        <v>973</v>
      </c>
      <c r="BP504" t="s">
        <v>973</v>
      </c>
      <c r="BQ504" t="s">
        <v>973</v>
      </c>
      <c r="BR504" t="s">
        <v>973</v>
      </c>
    </row>
    <row r="505" spans="1:70" x14ac:dyDescent="0.25">
      <c r="A505" t="s">
        <v>194</v>
      </c>
      <c r="B505" t="s">
        <v>7</v>
      </c>
      <c r="C505" s="4" t="s">
        <v>8</v>
      </c>
      <c r="D505" s="6"/>
      <c r="E505" s="9" t="str">
        <f>HYPERLINK("http://plants.ensembl.org/Triticum_aestivum/Gene/Summary?g=TRIAE_CS42_2AL_TGACv1_094920_AA0304840","TRIAE_CS42_2AL_TGACv1_094920_AA0304840")</f>
        <v>TRIAE_CS42_2AL_TGACv1_094920_AA0304840</v>
      </c>
      <c r="H505" s="1" t="s">
        <v>1051</v>
      </c>
      <c r="I505" s="1" t="s">
        <v>1051</v>
      </c>
      <c r="J505" s="1" t="s">
        <v>1051</v>
      </c>
      <c r="L505" s="6"/>
      <c r="M505">
        <v>1</v>
      </c>
      <c r="T505" s="6"/>
      <c r="U505" s="11">
        <v>5.7008484238387709</v>
      </c>
      <c r="V505" s="11">
        <v>4.5115418336097859</v>
      </c>
      <c r="W505" s="11">
        <v>7.723518516390854</v>
      </c>
      <c r="X505" s="11">
        <v>7.3066708506533722</v>
      </c>
      <c r="Y505" s="11">
        <v>8.1300579138879563</v>
      </c>
      <c r="Z505" s="11">
        <v>7.4912515808500899</v>
      </c>
      <c r="AA505" s="11">
        <v>5.1864596194297796</v>
      </c>
      <c r="AB505" s="11">
        <v>5.8933088125837179</v>
      </c>
      <c r="AC505" s="11">
        <v>4.8956677734600893</v>
      </c>
      <c r="AD505" s="11">
        <v>4.3632808990922571</v>
      </c>
      <c r="AE505" s="11">
        <v>7.5735749878246734</v>
      </c>
      <c r="AF505" s="11">
        <v>7.0194921361950593</v>
      </c>
      <c r="AG505" s="11">
        <v>7.7996958578620221</v>
      </c>
      <c r="AH505" s="11">
        <v>6.8868248737704354</v>
      </c>
      <c r="AI505" s="11">
        <v>6.036674758979296</v>
      </c>
      <c r="AJ505" s="11">
        <v>5.2097756614910598</v>
      </c>
      <c r="AK505" s="6"/>
      <c r="AL505" t="s">
        <v>1100</v>
      </c>
      <c r="AM505">
        <v>0</v>
      </c>
      <c r="AN505" s="6"/>
      <c r="AO505" s="20">
        <v>0.78749999999999998</v>
      </c>
      <c r="AP505" s="20">
        <v>0.59299999999999997</v>
      </c>
      <c r="AQ505" s="20">
        <v>0.151</v>
      </c>
      <c r="AR505" s="20">
        <v>0.2913</v>
      </c>
      <c r="AS505" s="20">
        <v>0.33090000000000003</v>
      </c>
      <c r="AT505" s="20">
        <v>0.60599999999999998</v>
      </c>
      <c r="AU505" s="20">
        <v>-0.88300000000000001</v>
      </c>
      <c r="AV505" s="20">
        <v>0.69430000000000003</v>
      </c>
      <c r="AW505" s="6"/>
      <c r="AX505" s="18">
        <v>2.6089999999999999E-2</v>
      </c>
      <c r="AY505" s="18">
        <v>0.24160000000000001</v>
      </c>
      <c r="AZ505" s="18">
        <v>0.59660000000000002</v>
      </c>
      <c r="BA505" s="18">
        <v>0.31669999999999998</v>
      </c>
      <c r="BB505" s="18">
        <v>0.24210000000000001</v>
      </c>
      <c r="BC505" s="18">
        <v>3.6990000000000002E-2</v>
      </c>
      <c r="BD505" s="18">
        <v>4.5209999999999998E-3</v>
      </c>
      <c r="BE505" s="18">
        <v>2.945E-2</v>
      </c>
      <c r="BF505" s="13"/>
      <c r="BG505" t="s">
        <v>1111</v>
      </c>
      <c r="BH505" t="s">
        <v>1342</v>
      </c>
      <c r="BI505" t="s">
        <v>1345</v>
      </c>
      <c r="BJ505" t="s">
        <v>1114</v>
      </c>
      <c r="BK505" t="s">
        <v>1115</v>
      </c>
      <c r="BL505" t="s">
        <v>1203</v>
      </c>
      <c r="BM505" t="s">
        <v>1346</v>
      </c>
      <c r="BN505" s="13"/>
      <c r="BO505" t="s">
        <v>973</v>
      </c>
      <c r="BP505" t="s">
        <v>973</v>
      </c>
      <c r="BQ505" t="s">
        <v>973</v>
      </c>
      <c r="BR505" t="s">
        <v>973</v>
      </c>
    </row>
    <row r="506" spans="1:70" x14ac:dyDescent="0.25">
      <c r="A506" t="s">
        <v>289</v>
      </c>
      <c r="B506" t="s">
        <v>7</v>
      </c>
      <c r="C506" s="4" t="s">
        <v>8</v>
      </c>
      <c r="D506" s="6"/>
      <c r="E506" s="9" t="str">
        <f>HYPERLINK("http://plants.ensembl.org/Triticum_aestivum/Gene/Summary?g=TRIAE_CS42_2DL_TGACv1_157886_AA0500190","TRIAE_CS42_2DL_TGACv1_157886_AA0500190")</f>
        <v>TRIAE_CS42_2DL_TGACv1_157886_AA0500190</v>
      </c>
      <c r="F506" s="9" t="str">
        <f>HYPERLINK("http://mar2016-plants.ensembl.org/Triticum_aestivum/Gene/Summary?db=core;g=Traes_2DL_14C8A084C","Traes_2DL_14C8A084C")</f>
        <v>Traes_2DL_14C8A084C</v>
      </c>
      <c r="H506" s="1" t="s">
        <v>1051</v>
      </c>
      <c r="I506" s="1" t="s">
        <v>1051</v>
      </c>
      <c r="J506" s="1" t="s">
        <v>1051</v>
      </c>
      <c r="L506" s="6"/>
      <c r="M506">
        <v>1</v>
      </c>
      <c r="T506" s="6"/>
      <c r="U506" s="11">
        <v>7.5190700706806242</v>
      </c>
      <c r="V506" s="11">
        <v>6.4571438991729586</v>
      </c>
      <c r="W506" s="11">
        <v>5.4356185938207524</v>
      </c>
      <c r="X506" s="11">
        <v>5.2088644699105018</v>
      </c>
      <c r="Y506" s="11">
        <v>5.1316567009816882</v>
      </c>
      <c r="Z506" s="11">
        <v>4.5401533589981842</v>
      </c>
      <c r="AA506" s="11">
        <v>5.8513867608145489</v>
      </c>
      <c r="AB506" s="11">
        <v>5.9495014720643855</v>
      </c>
      <c r="AC506" s="11">
        <v>5.2009894703097501</v>
      </c>
      <c r="AD506" s="11">
        <v>3.5636218664522228</v>
      </c>
      <c r="AE506" s="11">
        <v>3.0386819948246715</v>
      </c>
      <c r="AF506" s="11">
        <v>2.8050654041806067</v>
      </c>
      <c r="AG506" s="11">
        <v>2.2468336879105424</v>
      </c>
      <c r="AH506" s="11">
        <v>2.28511611763291</v>
      </c>
      <c r="AI506" s="11">
        <v>5.1909690381312004</v>
      </c>
      <c r="AJ506" s="11">
        <v>4.659481257252911</v>
      </c>
      <c r="AK506" s="6"/>
      <c r="AL506" t="s">
        <v>1077</v>
      </c>
      <c r="AM506">
        <v>0</v>
      </c>
      <c r="AN506" s="6"/>
      <c r="AO506" s="20">
        <v>2.3233999999999999</v>
      </c>
      <c r="AP506" s="20">
        <v>2.8283999999999998</v>
      </c>
      <c r="AQ506" s="20">
        <v>2.5144000000000002</v>
      </c>
      <c r="AR506" s="20">
        <v>2.5110000000000001</v>
      </c>
      <c r="AS506" s="20">
        <v>3.1865999999999999</v>
      </c>
      <c r="AT506" s="20">
        <v>2.3656000000000001</v>
      </c>
      <c r="AU506" s="20">
        <v>0.66439999999999999</v>
      </c>
      <c r="AV506" s="20">
        <v>1.3102</v>
      </c>
      <c r="AW506" s="6"/>
      <c r="AX506" s="18">
        <v>3.6409999999999998E-7</v>
      </c>
      <c r="AY506" s="18">
        <v>5.2379999999999997E-7</v>
      </c>
      <c r="AZ506" s="18">
        <v>1.1179999999999999E-6</v>
      </c>
      <c r="BA506" s="18">
        <v>2.9809999999999999E-6</v>
      </c>
      <c r="BB506" s="18">
        <v>4.374E-9</v>
      </c>
      <c r="BC506" s="18">
        <v>5.5760000000000001E-5</v>
      </c>
      <c r="BD506" s="18">
        <v>0.1421</v>
      </c>
      <c r="BE506" s="18">
        <v>4.6430000000000004E-3</v>
      </c>
      <c r="BF506" s="13"/>
      <c r="BG506" t="s">
        <v>1146</v>
      </c>
      <c r="BH506" t="s">
        <v>1147</v>
      </c>
      <c r="BI506" t="s">
        <v>1113</v>
      </c>
      <c r="BJ506" t="s">
        <v>1114</v>
      </c>
      <c r="BK506" t="s">
        <v>1115</v>
      </c>
      <c r="BL506" t="s">
        <v>1116</v>
      </c>
      <c r="BM506" t="s">
        <v>1117</v>
      </c>
      <c r="BN506" s="13"/>
      <c r="BO506">
        <v>1</v>
      </c>
      <c r="BP506" t="s">
        <v>973</v>
      </c>
      <c r="BQ506" t="s">
        <v>973</v>
      </c>
      <c r="BR506" t="s">
        <v>973</v>
      </c>
    </row>
    <row r="507" spans="1:70" x14ac:dyDescent="0.25">
      <c r="A507" t="s">
        <v>321</v>
      </c>
      <c r="B507" t="s">
        <v>322</v>
      </c>
      <c r="C507" t="s">
        <v>323</v>
      </c>
      <c r="D507" s="6"/>
      <c r="E507" s="9" t="str">
        <f>HYPERLINK("http://plants.ensembl.org/Triticum_aestivum/Gene/Summary?g=TRIAE_CS42_3AL_TGACv1_193833_AA0620480","TRIAE_CS42_3AL_TGACv1_193833_AA0620480")</f>
        <v>TRIAE_CS42_3AL_TGACv1_193833_AA0620480</v>
      </c>
      <c r="F507" s="9" t="str">
        <f>HYPERLINK("http://mar2016-plants.ensembl.org/Triticum_aestivum/Gene/Summary?db=core;g=Traes_3AL_56B05D87C","Traes_3AL_56B05D87C")</f>
        <v>Traes_3AL_56B05D87C</v>
      </c>
      <c r="G507" t="s">
        <v>1419</v>
      </c>
      <c r="H507" s="8" t="str">
        <f>HYPERLINK("http://plants.ensembl.org/Brachypodium_distachyon/Gene/Summary?g=Bradi2g51030","Bradi2g51030")</f>
        <v>Bradi2g51030</v>
      </c>
      <c r="I507" s="8" t="str">
        <f>HYPERLINK("http://plants.ensembl.org/Arabidopsis_thaliana/Gene/Summary?g=AT5G45110","AT5G45110")</f>
        <v>AT5G45110</v>
      </c>
      <c r="J507" s="9" t="str">
        <f>HYPERLINK("http://plants.ensembl.org/Oryza_sativa/Gene/Summary?db=otherfeatures;g=LOC_Os01g56200","LOC_Os01g56200")</f>
        <v>LOC_Os01g56200</v>
      </c>
      <c r="L507" s="6"/>
      <c r="M507">
        <v>1</v>
      </c>
      <c r="N507" t="s">
        <v>973</v>
      </c>
      <c r="O507" t="s">
        <v>973</v>
      </c>
      <c r="P507" t="s">
        <v>973</v>
      </c>
      <c r="S507" t="s">
        <v>973</v>
      </c>
      <c r="T507" s="6"/>
      <c r="U507" s="11">
        <v>9.8146383248660669</v>
      </c>
      <c r="V507" s="11">
        <v>10.280333565746872</v>
      </c>
      <c r="W507" s="11">
        <v>8.886362258770891</v>
      </c>
      <c r="X507" s="11">
        <v>9.1031633815287378</v>
      </c>
      <c r="Y507" s="11">
        <v>9.1681580377184044</v>
      </c>
      <c r="Z507" s="11">
        <v>8.7252546783471949</v>
      </c>
      <c r="AA507" s="11">
        <v>8.8863619539020835</v>
      </c>
      <c r="AB507" s="11">
        <v>8.5893597694631829</v>
      </c>
      <c r="AC507" s="11">
        <v>9.1197960572521826</v>
      </c>
      <c r="AD507" s="11">
        <v>8.8223985363733224</v>
      </c>
      <c r="AE507" s="11">
        <v>8.5214506010293096</v>
      </c>
      <c r="AF507" s="11">
        <v>8.4867889082041099</v>
      </c>
      <c r="AG507" s="11">
        <v>8.5989938849998477</v>
      </c>
      <c r="AH507" s="11">
        <v>8.3128443921656725</v>
      </c>
      <c r="AI507" s="11">
        <v>9.0069801577153381</v>
      </c>
      <c r="AJ507" s="11">
        <v>8.5991800297818788</v>
      </c>
      <c r="AK507" s="6"/>
      <c r="AL507" t="s">
        <v>1090</v>
      </c>
      <c r="AM507">
        <v>0</v>
      </c>
      <c r="AN507" s="6"/>
      <c r="AO507" s="20">
        <v>0.71389999999999998</v>
      </c>
      <c r="AP507" s="20">
        <v>1.4782999999999999</v>
      </c>
      <c r="AQ507" s="20">
        <v>0.3639</v>
      </c>
      <c r="AR507" s="20">
        <v>0.61419999999999997</v>
      </c>
      <c r="AS507" s="20">
        <v>0.56950000000000001</v>
      </c>
      <c r="AT507" s="20">
        <v>0.4078</v>
      </c>
      <c r="AU507" s="20">
        <v>-0.12379999999999999</v>
      </c>
      <c r="AV507" s="20">
        <v>-9.9000000000000008E-3</v>
      </c>
      <c r="AW507" s="6"/>
      <c r="AX507" s="18">
        <v>1.577E-5</v>
      </c>
      <c r="AY507" s="18">
        <v>4.0879999999999998E-17</v>
      </c>
      <c r="AZ507" s="18">
        <v>2.6849999999999999E-2</v>
      </c>
      <c r="BA507" s="18">
        <v>1.975E-4</v>
      </c>
      <c r="BB507" s="18">
        <v>4.6559999999999999E-4</v>
      </c>
      <c r="BC507" s="18">
        <v>1.4200000000000001E-2</v>
      </c>
      <c r="BD507" s="18">
        <v>0.44600000000000001</v>
      </c>
      <c r="BE507" s="18">
        <v>0.95240000000000002</v>
      </c>
      <c r="BF507" s="13"/>
      <c r="BG507" t="s">
        <v>1125</v>
      </c>
      <c r="BH507" t="s">
        <v>1126</v>
      </c>
      <c r="BI507" t="s">
        <v>1113</v>
      </c>
      <c r="BJ507" t="s">
        <v>1114</v>
      </c>
      <c r="BK507" t="s">
        <v>1115</v>
      </c>
      <c r="BL507" t="s">
        <v>1116</v>
      </c>
      <c r="BM507" t="s">
        <v>1117</v>
      </c>
      <c r="BN507" s="13"/>
      <c r="BO507" t="s">
        <v>973</v>
      </c>
      <c r="BP507">
        <v>1</v>
      </c>
      <c r="BQ507" t="s">
        <v>973</v>
      </c>
      <c r="BR507" t="s">
        <v>973</v>
      </c>
    </row>
    <row r="508" spans="1:70" x14ac:dyDescent="0.25">
      <c r="A508" t="s">
        <v>386</v>
      </c>
      <c r="B508" t="s">
        <v>322</v>
      </c>
      <c r="C508" t="s">
        <v>323</v>
      </c>
      <c r="D508" s="6"/>
      <c r="E508" s="9" t="str">
        <f>HYPERLINK("http://plants.ensembl.org/Triticum_aestivum/Gene/Summary?g=TRIAE_CS42_3B_TGACv1_221761_AA0749410","TRIAE_CS42_3B_TGACv1_221761_AA0749410")</f>
        <v>TRIAE_CS42_3B_TGACv1_221761_AA0749410</v>
      </c>
      <c r="F508" s="9" t="str">
        <f>HYPERLINK("http://mar2016-plants.ensembl.org/Triticum_aestivum/Gene/Summary?db=core;g=TRAES3BF081500010CFD","TRAES3BF081500010CFD")</f>
        <v>TRAES3BF081500010CFD</v>
      </c>
      <c r="G508" t="s">
        <v>1419</v>
      </c>
      <c r="H508" s="8" t="str">
        <f>HYPERLINK("http://plants.ensembl.org/Brachypodium_distachyon/Gene/Summary?g=Bradi2g51030","Bradi2g51030")</f>
        <v>Bradi2g51030</v>
      </c>
      <c r="I508" s="8" t="str">
        <f>HYPERLINK("http://plants.ensembl.org/Arabidopsis_thaliana/Gene/Summary?g=AT5G45110","AT5G45110")</f>
        <v>AT5G45110</v>
      </c>
      <c r="J508" s="9" t="str">
        <f>HYPERLINK("http://plants.ensembl.org/Oryza_sativa/Gene/Summary?db=otherfeatures;g=LOC_Os01g56200","LOC_Os01g56200")</f>
        <v>LOC_Os01g56200</v>
      </c>
      <c r="L508" s="6"/>
      <c r="M508">
        <v>1</v>
      </c>
      <c r="T508" s="6"/>
      <c r="U508" s="11">
        <v>9.4710639376162771</v>
      </c>
      <c r="V508" s="11">
        <v>9.6622041345436234</v>
      </c>
      <c r="W508" s="11">
        <v>9.102269780976366</v>
      </c>
      <c r="X508" s="11">
        <v>9.1285034075177443</v>
      </c>
      <c r="Y508" s="11">
        <v>9.4427086242194598</v>
      </c>
      <c r="Z508" s="11">
        <v>8.781401135764888</v>
      </c>
      <c r="AA508" s="11">
        <v>9.0100772078011335</v>
      </c>
      <c r="AB508" s="11">
        <v>9.07046375071595</v>
      </c>
      <c r="AC508" s="11">
        <v>8.9635244093439397</v>
      </c>
      <c r="AD508" s="11">
        <v>8.2309841527711356</v>
      </c>
      <c r="AE508" s="11">
        <v>8.4686051733887666</v>
      </c>
      <c r="AF508" s="11">
        <v>8.4221603818592357</v>
      </c>
      <c r="AG508" s="11">
        <v>8.4556484684737327</v>
      </c>
      <c r="AH508" s="11">
        <v>7.9895307440004713</v>
      </c>
      <c r="AI508" s="11">
        <v>9.2157533306236132</v>
      </c>
      <c r="AJ508" s="11">
        <v>8.5836965817062865</v>
      </c>
      <c r="AK508" s="6"/>
      <c r="AL508" t="s">
        <v>1077</v>
      </c>
      <c r="AM508">
        <v>0</v>
      </c>
      <c r="AN508" s="6"/>
      <c r="AO508" s="20">
        <v>0.52039999999999997</v>
      </c>
      <c r="AP508" s="20">
        <v>1.4216</v>
      </c>
      <c r="AQ508" s="20">
        <v>0.63229999999999997</v>
      </c>
      <c r="AR508" s="20">
        <v>0.71079999999999999</v>
      </c>
      <c r="AS508" s="20">
        <v>0.98699999999999999</v>
      </c>
      <c r="AT508" s="20">
        <v>0.78749999999999998</v>
      </c>
      <c r="AU508" s="20">
        <v>-0.20680000000000001</v>
      </c>
      <c r="AV508" s="20">
        <v>0.48699999999999999</v>
      </c>
      <c r="AW508" s="6"/>
      <c r="AX508" s="18">
        <v>4.1139999999999996E-3</v>
      </c>
      <c r="AY508" s="18">
        <v>5.4969999999999997E-13</v>
      </c>
      <c r="AZ508" s="18">
        <v>3.9819999999999998E-4</v>
      </c>
      <c r="BA508" s="18">
        <v>7.5679999999999994E-5</v>
      </c>
      <c r="BB508" s="18">
        <v>2.4859999999999999E-8</v>
      </c>
      <c r="BC508" s="18">
        <v>1.487E-5</v>
      </c>
      <c r="BD508" s="18">
        <v>0.2412</v>
      </c>
      <c r="BE508" s="18">
        <v>6.4650000000000003E-3</v>
      </c>
      <c r="BF508" s="13"/>
      <c r="BG508" t="s">
        <v>1125</v>
      </c>
      <c r="BH508" t="s">
        <v>1112</v>
      </c>
      <c r="BI508" t="s">
        <v>1113</v>
      </c>
      <c r="BJ508" t="s">
        <v>1114</v>
      </c>
      <c r="BK508" t="s">
        <v>1115</v>
      </c>
      <c r="BL508" t="s">
        <v>1116</v>
      </c>
      <c r="BM508" t="s">
        <v>1117</v>
      </c>
      <c r="BN508" s="13"/>
      <c r="BO508" t="s">
        <v>973</v>
      </c>
      <c r="BP508" t="s">
        <v>973</v>
      </c>
      <c r="BQ508" t="s">
        <v>973</v>
      </c>
      <c r="BR508" t="s">
        <v>973</v>
      </c>
    </row>
    <row r="509" spans="1:70" x14ac:dyDescent="0.25">
      <c r="A509" t="s">
        <v>504</v>
      </c>
      <c r="B509" t="s">
        <v>505</v>
      </c>
      <c r="C509" t="s">
        <v>323</v>
      </c>
      <c r="D509" s="6"/>
      <c r="E509" s="9" t="str">
        <f>HYPERLINK("http://plants.ensembl.org/Triticum_aestivum/Gene/Summary?g=TRIAE_CS42_4AL_TGACv1_291937_AA0997150","TRIAE_CS42_4AL_TGACv1_291937_AA0997150")</f>
        <v>TRIAE_CS42_4AL_TGACv1_291937_AA0997150</v>
      </c>
      <c r="F509" s="9" t="str">
        <f>HYPERLINK("http://mar2016-plants.ensembl.org/Triticum_aestivum/Gene/Summary?db=core;g=Traes_4AL_CF854A8E8","Traes_4AL_CF854A8E8")</f>
        <v>Traes_4AL_CF854A8E8</v>
      </c>
      <c r="H509" s="8" t="str">
        <f>HYPERLINK("http://plants.ensembl.org/Brachypodium_distachyon/Gene/Summary?g=Bradi1g12870","Bradi1g12870")</f>
        <v>Bradi1g12870</v>
      </c>
      <c r="I509" s="1" t="s">
        <v>1051</v>
      </c>
      <c r="J509" s="9" t="str">
        <f>HYPERLINK("http://plants.ensembl.org/Oryza_sativa/Gene/Summary?db=otherfeatures;g=LOC_Os03g46440","LOC_Os03g46440")</f>
        <v>LOC_Os03g46440</v>
      </c>
      <c r="L509" s="6"/>
      <c r="M509">
        <v>1</v>
      </c>
      <c r="T509" s="6"/>
      <c r="U509" s="11">
        <v>7.1757351617152363</v>
      </c>
      <c r="V509" s="11">
        <v>6.9929908140103665</v>
      </c>
      <c r="W509" s="11">
        <v>6.5159689060369503</v>
      </c>
      <c r="X509" s="11">
        <v>6.2390797499280017</v>
      </c>
      <c r="Y509" s="11">
        <v>6.8098517141911099</v>
      </c>
      <c r="Z509" s="11">
        <v>6.015210598023077</v>
      </c>
      <c r="AA509" s="11">
        <v>6.6605184255112606</v>
      </c>
      <c r="AB509" s="11">
        <v>5.9377971251963269</v>
      </c>
      <c r="AC509" s="11">
        <v>7.0442053908450877</v>
      </c>
      <c r="AD509" s="11">
        <v>5.8988290970939836</v>
      </c>
      <c r="AE509" s="11">
        <v>6.2812525158143551</v>
      </c>
      <c r="AF509" s="11">
        <v>5.6214042922256189</v>
      </c>
      <c r="AG509" s="11">
        <v>6.330266772156568</v>
      </c>
      <c r="AH509" s="11">
        <v>5.1400233059124023</v>
      </c>
      <c r="AI509" s="11">
        <v>6.6402275803881343</v>
      </c>
      <c r="AJ509" s="11">
        <v>5.5925307897407635</v>
      </c>
      <c r="AK509" s="6"/>
      <c r="AL509" t="s">
        <v>1101</v>
      </c>
      <c r="AM509">
        <v>0</v>
      </c>
      <c r="AN509" s="6"/>
      <c r="AO509" s="20">
        <v>0.1636</v>
      </c>
      <c r="AP509" s="20">
        <v>1.1200000000000001</v>
      </c>
      <c r="AQ509" s="20">
        <v>0.23050000000000001</v>
      </c>
      <c r="AR509" s="20">
        <v>0.59689999999999999</v>
      </c>
      <c r="AS509" s="20">
        <v>0.4834</v>
      </c>
      <c r="AT509" s="20">
        <v>0.90890000000000004</v>
      </c>
      <c r="AU509" s="20">
        <v>1.5100000000000001E-2</v>
      </c>
      <c r="AV509" s="20">
        <v>0.35199999999999998</v>
      </c>
      <c r="AW509" s="6"/>
      <c r="AX509" s="18">
        <v>0.51019999999999999</v>
      </c>
      <c r="AY509" s="18">
        <v>1.9039999999999999E-4</v>
      </c>
      <c r="AZ509" s="18">
        <v>0.34510000000000002</v>
      </c>
      <c r="BA509" s="18">
        <v>2.0979999999999999E-2</v>
      </c>
      <c r="BB509" s="18">
        <v>4.3060000000000001E-2</v>
      </c>
      <c r="BC509" s="18">
        <v>7.8100000000000001E-4</v>
      </c>
      <c r="BD509" s="18">
        <v>0.94950000000000001</v>
      </c>
      <c r="BE509" s="18">
        <v>0.17949999999999999</v>
      </c>
      <c r="BF509" s="13"/>
      <c r="BG509" t="s">
        <v>1125</v>
      </c>
      <c r="BH509" t="s">
        <v>1155</v>
      </c>
      <c r="BI509" t="s">
        <v>1113</v>
      </c>
      <c r="BJ509" t="s">
        <v>1114</v>
      </c>
      <c r="BK509" t="s">
        <v>1182</v>
      </c>
      <c r="BL509" t="s">
        <v>1116</v>
      </c>
      <c r="BM509" t="s">
        <v>1117</v>
      </c>
      <c r="BN509" s="13"/>
      <c r="BO509" t="s">
        <v>973</v>
      </c>
      <c r="BP509" t="s">
        <v>973</v>
      </c>
      <c r="BQ509" t="s">
        <v>973</v>
      </c>
      <c r="BR509" t="s">
        <v>973</v>
      </c>
    </row>
    <row r="510" spans="1:70" x14ac:dyDescent="0.25">
      <c r="A510" t="s">
        <v>529</v>
      </c>
      <c r="B510" t="s">
        <v>505</v>
      </c>
      <c r="C510" t="s">
        <v>323</v>
      </c>
      <c r="D510" s="6"/>
      <c r="E510" s="9" t="str">
        <f>HYPERLINK("http://plants.ensembl.org/Triticum_aestivum/Gene/Summary?g=TRIAE_CS42_4BS_TGACv1_330308_AA1107060","TRIAE_CS42_4BS_TGACv1_330308_AA1107060")</f>
        <v>TRIAE_CS42_4BS_TGACv1_330308_AA1107060</v>
      </c>
      <c r="F510" s="9" t="str">
        <f>HYPERLINK("http://mar2016-plants.ensembl.org/Triticum_aestivum/Gene/Summary?db=core;g=Traes_4BS_28D2F8459","Traes_4BS_28D2F8459")</f>
        <v>Traes_4BS_28D2F8459</v>
      </c>
      <c r="H510" s="8" t="str">
        <f>HYPERLINK("http://plants.ensembl.org/Brachypodium_distachyon/Gene/Summary?g=Bradi1g12870","Bradi1g12870")</f>
        <v>Bradi1g12870</v>
      </c>
      <c r="I510" s="1" t="s">
        <v>1051</v>
      </c>
      <c r="J510" s="9" t="str">
        <f>HYPERLINK("http://plants.ensembl.org/Oryza_sativa/Gene/Summary?db=otherfeatures;g=LOC_Os03g46440","LOC_Os03g46440")</f>
        <v>LOC_Os03g46440</v>
      </c>
      <c r="L510" s="6"/>
      <c r="M510">
        <v>1</v>
      </c>
      <c r="T510" s="6"/>
      <c r="U510" s="11">
        <v>5.4139516881788428</v>
      </c>
      <c r="V510" s="11">
        <v>5.42756818310004</v>
      </c>
      <c r="W510" s="11">
        <v>5.6552411414136898</v>
      </c>
      <c r="X510" s="11">
        <v>5.0607175449345094</v>
      </c>
      <c r="Y510" s="11">
        <v>5.6968534966741657</v>
      </c>
      <c r="Z510" s="11">
        <v>4.4895878907170124</v>
      </c>
      <c r="AA510" s="11">
        <v>6.0414094644004104</v>
      </c>
      <c r="AB510" s="11">
        <v>4.5738107593901205</v>
      </c>
      <c r="AC510" s="11">
        <v>6.5027114253164724</v>
      </c>
      <c r="AD510" s="11">
        <v>6.0113375968707414</v>
      </c>
      <c r="AE510" s="11">
        <v>6.0685318077243782</v>
      </c>
      <c r="AF510" s="11">
        <v>5.6902503918579344</v>
      </c>
      <c r="AG510" s="11">
        <v>6.0554957505758082</v>
      </c>
      <c r="AH510" s="11">
        <v>5.0398124886424744</v>
      </c>
      <c r="AI510" s="11">
        <v>6.6764488998630167</v>
      </c>
      <c r="AJ510" s="11">
        <v>5.1803773095212895</v>
      </c>
      <c r="AK510" s="6"/>
      <c r="AL510" t="s">
        <v>1079</v>
      </c>
      <c r="AM510">
        <v>0</v>
      </c>
      <c r="AN510" s="6"/>
      <c r="AO510" s="20">
        <v>-1.0615000000000001</v>
      </c>
      <c r="AP510" s="20">
        <v>-0.36099999999999999</v>
      </c>
      <c r="AQ510" s="20">
        <v>-0.42209999999999998</v>
      </c>
      <c r="AR510" s="20">
        <v>-0.66490000000000005</v>
      </c>
      <c r="AS510" s="20">
        <v>-0.36220000000000002</v>
      </c>
      <c r="AT510" s="20">
        <v>-0.54769999999999996</v>
      </c>
      <c r="AU510" s="20">
        <v>-0.64900000000000002</v>
      </c>
      <c r="AV510" s="20">
        <v>-0.62</v>
      </c>
      <c r="AW510" s="6"/>
      <c r="AX510" s="18">
        <v>1.059E-5</v>
      </c>
      <c r="AY510" s="18">
        <v>0.22550000000000001</v>
      </c>
      <c r="AZ510" s="18">
        <v>3.5860000000000003E-2</v>
      </c>
      <c r="BA510" s="18">
        <v>3.2940000000000001E-3</v>
      </c>
      <c r="BB510" s="18">
        <v>6.8360000000000004E-2</v>
      </c>
      <c r="BC510" s="18">
        <v>3.1510000000000003E-2</v>
      </c>
      <c r="BD510" s="18">
        <v>4.1189999999999998E-4</v>
      </c>
      <c r="BE510" s="18">
        <v>1.506E-2</v>
      </c>
      <c r="BF510" s="13"/>
      <c r="BG510" t="s">
        <v>1111</v>
      </c>
      <c r="BH510" t="s">
        <v>1112</v>
      </c>
      <c r="BI510" t="s">
        <v>1113</v>
      </c>
      <c r="BJ510" t="s">
        <v>1114</v>
      </c>
      <c r="BK510" t="s">
        <v>1178</v>
      </c>
      <c r="BL510" t="s">
        <v>1116</v>
      </c>
      <c r="BM510" t="s">
        <v>1117</v>
      </c>
      <c r="BN510" s="13"/>
      <c r="BO510" t="s">
        <v>973</v>
      </c>
      <c r="BP510" t="s">
        <v>973</v>
      </c>
      <c r="BQ510" t="s">
        <v>973</v>
      </c>
      <c r="BR510" t="s">
        <v>973</v>
      </c>
    </row>
    <row r="511" spans="1:70" x14ac:dyDescent="0.25">
      <c r="A511" t="s">
        <v>558</v>
      </c>
      <c r="B511" t="s">
        <v>505</v>
      </c>
      <c r="C511" t="s">
        <v>323</v>
      </c>
      <c r="D511" s="6"/>
      <c r="E511" s="9" t="str">
        <f>HYPERLINK("http://plants.ensembl.org/Triticum_aestivum/Gene/Summary?g=TRIAE_CS42_4DS_TGACv1_361462_AA1168450","TRIAE_CS42_4DS_TGACv1_361462_AA1168450")</f>
        <v>TRIAE_CS42_4DS_TGACv1_361462_AA1168450</v>
      </c>
      <c r="F511" s="9" t="str">
        <f>HYPERLINK("http://mar2016-plants.ensembl.org/Triticum_aestivum/Gene/Summary?db=core;g=Traes_4DS_73E62EF87","Traes_4DS_73E62EF87")</f>
        <v>Traes_4DS_73E62EF87</v>
      </c>
      <c r="H511" s="8" t="str">
        <f>HYPERLINK("http://plants.ensembl.org/Brachypodium_distachyon/Gene/Summary?g=Bradi1g12870","Bradi1g12870")</f>
        <v>Bradi1g12870</v>
      </c>
      <c r="I511" s="1" t="s">
        <v>1051</v>
      </c>
      <c r="J511" s="9" t="str">
        <f>HYPERLINK("http://plants.ensembl.org/Oryza_sativa/Gene/Summary?db=otherfeatures;g=LOC_Os03g46440","LOC_Os03g46440")</f>
        <v>LOC_Os03g46440</v>
      </c>
      <c r="L511" s="6"/>
      <c r="M511">
        <v>1</v>
      </c>
      <c r="T511" s="6"/>
      <c r="U511" s="11">
        <v>7.3330840712134195</v>
      </c>
      <c r="V511" s="11">
        <v>7.0083206726943486</v>
      </c>
      <c r="W511" s="11">
        <v>6.9910671412548684</v>
      </c>
      <c r="X511" s="11">
        <v>6.7310130340750201</v>
      </c>
      <c r="Y511" s="11">
        <v>7.3834819678450954</v>
      </c>
      <c r="Z511" s="11">
        <v>6.5578261647024538</v>
      </c>
      <c r="AA511" s="11">
        <v>7.5819419542336224</v>
      </c>
      <c r="AB511" s="11">
        <v>6.4283344873389723</v>
      </c>
      <c r="AC511" s="11">
        <v>7.5758419982453207</v>
      </c>
      <c r="AD511" s="11">
        <v>7.2362135555486971</v>
      </c>
      <c r="AE511" s="11">
        <v>7.1696110475297834</v>
      </c>
      <c r="AF511" s="11">
        <v>6.9168468249734332</v>
      </c>
      <c r="AG511" s="11">
        <v>7.1002828261346425</v>
      </c>
      <c r="AH511" s="11">
        <v>6.4261808746450448</v>
      </c>
      <c r="AI511" s="11">
        <v>7.6963298183966584</v>
      </c>
      <c r="AJ511" s="11">
        <v>6.4530856718059342</v>
      </c>
      <c r="AK511" s="6"/>
      <c r="AL511" t="s">
        <v>1101</v>
      </c>
      <c r="AM511">
        <v>0</v>
      </c>
      <c r="AN511" s="6"/>
      <c r="AO511" s="20">
        <v>-0.34439999999999998</v>
      </c>
      <c r="AP511" s="20">
        <v>2.0000000000000001E-4</v>
      </c>
      <c r="AQ511" s="20">
        <v>-0.18340000000000001</v>
      </c>
      <c r="AR511" s="20">
        <v>-0.1782</v>
      </c>
      <c r="AS511" s="20">
        <v>0.2828</v>
      </c>
      <c r="AT511" s="20">
        <v>0.126</v>
      </c>
      <c r="AU511" s="20">
        <v>-0.12</v>
      </c>
      <c r="AV511" s="20">
        <v>-2.4400000000000002E-2</v>
      </c>
      <c r="AW511" s="6"/>
      <c r="AX511" s="18">
        <v>0.1366</v>
      </c>
      <c r="AY511" s="18">
        <v>0.99939999999999996</v>
      </c>
      <c r="AZ511" s="18">
        <v>0.40429999999999999</v>
      </c>
      <c r="BA511" s="18">
        <v>0.43049999999999999</v>
      </c>
      <c r="BB511" s="18">
        <v>0.19170000000000001</v>
      </c>
      <c r="BC511" s="18">
        <v>0.58579999999999999</v>
      </c>
      <c r="BD511" s="18">
        <v>0.57289999999999996</v>
      </c>
      <c r="BE511" s="18">
        <v>0.91649999999999998</v>
      </c>
      <c r="BF511" s="13"/>
      <c r="BG511" t="s">
        <v>1111</v>
      </c>
      <c r="BH511" t="s">
        <v>1112</v>
      </c>
      <c r="BI511" t="s">
        <v>1113</v>
      </c>
      <c r="BJ511" t="s">
        <v>1217</v>
      </c>
      <c r="BK511" t="s">
        <v>1178</v>
      </c>
      <c r="BL511" t="s">
        <v>1116</v>
      </c>
      <c r="BM511" t="s">
        <v>1117</v>
      </c>
      <c r="BN511" s="13"/>
      <c r="BO511" t="s">
        <v>973</v>
      </c>
      <c r="BP511" t="s">
        <v>973</v>
      </c>
      <c r="BQ511" t="s">
        <v>973</v>
      </c>
      <c r="BR511" t="s">
        <v>973</v>
      </c>
    </row>
    <row r="512" spans="1:70" x14ac:dyDescent="0.25">
      <c r="A512" t="s">
        <v>273</v>
      </c>
      <c r="B512" t="s">
        <v>274</v>
      </c>
      <c r="C512" t="s">
        <v>275</v>
      </c>
      <c r="D512" s="6"/>
      <c r="E512" s="9" t="str">
        <f>HYPERLINK("http://plants.ensembl.org/Triticum_aestivum/Gene/Summary?g=TRIAE_CS42_2DL_TGACv1_159912_AA0544280","TRIAE_CS42_2DL_TGACv1_159912_AA0544280")</f>
        <v>TRIAE_CS42_2DL_TGACv1_159912_AA0544280</v>
      </c>
      <c r="H512" s="8" t="str">
        <f>HYPERLINK("http://plants.ensembl.org/Brachypodium_distachyon/Gene/Summary?g=Bradi5g17419","Bradi5g17419")</f>
        <v>Bradi5g17419</v>
      </c>
      <c r="I512" s="1" t="s">
        <v>1051</v>
      </c>
      <c r="J512" s="9" t="str">
        <f>HYPERLINK("http://plants.ensembl.org/Oryza_sativa/Gene/Summary?db=otherfeatures;g=LOC_Os04g46110","LOC_Os04g46110")</f>
        <v>LOC_Os04g46110</v>
      </c>
      <c r="L512" s="6"/>
      <c r="M512" s="1" t="s">
        <v>973</v>
      </c>
      <c r="N512" s="1" t="s">
        <v>973</v>
      </c>
      <c r="O512" s="1" t="s">
        <v>973</v>
      </c>
      <c r="P512" s="1" t="s">
        <v>973</v>
      </c>
      <c r="Q512" s="1" t="s">
        <v>973</v>
      </c>
      <c r="R512" s="1" t="s">
        <v>973</v>
      </c>
      <c r="S512" s="1">
        <v>1</v>
      </c>
      <c r="T512" s="6"/>
      <c r="U512" s="11">
        <v>4.269853533259548</v>
      </c>
      <c r="V512" s="11">
        <v>3.6677294203129001</v>
      </c>
      <c r="W512" s="11">
        <v>5.5522551197608587</v>
      </c>
      <c r="X512" s="11">
        <v>4.8209822220112066</v>
      </c>
      <c r="Y512" s="11">
        <v>4.7121243423481181</v>
      </c>
      <c r="Z512" s="11">
        <v>5.1397764361934195</v>
      </c>
      <c r="AA512" s="11">
        <v>6.1462940687429608</v>
      </c>
      <c r="AB512" s="11">
        <v>6.0185555453540394</v>
      </c>
      <c r="AC512" s="11">
        <v>5.7097391103397044</v>
      </c>
      <c r="AD512" s="11">
        <v>6.862026885252031</v>
      </c>
      <c r="AE512" s="11">
        <v>6.6524836267343179</v>
      </c>
      <c r="AF512" s="11">
        <v>6.600800495797416</v>
      </c>
      <c r="AG512" s="11">
        <v>5.8207754934794549</v>
      </c>
      <c r="AH512" s="11">
        <v>6.3715286609503794</v>
      </c>
      <c r="AI512" s="11">
        <v>6.0605460709363461</v>
      </c>
      <c r="AJ512" s="11">
        <v>6.5216977938185217</v>
      </c>
      <c r="AK512" s="6"/>
      <c r="AL512" t="s">
        <v>1088</v>
      </c>
      <c r="AM512">
        <v>0</v>
      </c>
      <c r="AN512" s="6"/>
      <c r="AO512" s="20">
        <v>-1.4069</v>
      </c>
      <c r="AP512" s="20">
        <v>-3.2025999999999999</v>
      </c>
      <c r="AQ512" s="20">
        <v>-1.1044</v>
      </c>
      <c r="AR512" s="20">
        <v>-1.7981</v>
      </c>
      <c r="AS512" s="20">
        <v>-1.1342000000000001</v>
      </c>
      <c r="AT512" s="20">
        <v>-1.2179</v>
      </c>
      <c r="AU512" s="20">
        <v>9.3600000000000003E-2</v>
      </c>
      <c r="AV512" s="20">
        <v>-0.50619999999999998</v>
      </c>
      <c r="AW512" s="6"/>
      <c r="AX512" s="18">
        <v>2.14E-3</v>
      </c>
      <c r="AY512" s="18">
        <v>2.6169999999999999E-8</v>
      </c>
      <c r="AZ512" s="18">
        <v>3.9020000000000001E-3</v>
      </c>
      <c r="BA512" s="18">
        <v>5.8300000000000001E-6</v>
      </c>
      <c r="BB512" s="18">
        <v>4.6589999999999999E-3</v>
      </c>
      <c r="BC512" s="18">
        <v>1.807E-3</v>
      </c>
      <c r="BD512" s="18">
        <v>0.80530000000000002</v>
      </c>
      <c r="BE512" s="18">
        <v>0.185</v>
      </c>
      <c r="BF512" s="13"/>
      <c r="BG512" t="s">
        <v>1395</v>
      </c>
      <c r="BH512" t="s">
        <v>1112</v>
      </c>
      <c r="BI512" t="s">
        <v>1113</v>
      </c>
      <c r="BJ512" t="s">
        <v>1114</v>
      </c>
      <c r="BK512" t="s">
        <v>1151</v>
      </c>
      <c r="BL512" t="s">
        <v>1116</v>
      </c>
      <c r="BM512" t="s">
        <v>1117</v>
      </c>
      <c r="BN512" s="13"/>
      <c r="BO512" t="s">
        <v>973</v>
      </c>
      <c r="BP512" t="s">
        <v>973</v>
      </c>
      <c r="BQ512" t="s">
        <v>973</v>
      </c>
      <c r="BR512" t="s">
        <v>973</v>
      </c>
    </row>
    <row r="513" spans="1:70" x14ac:dyDescent="0.25">
      <c r="A513" t="s">
        <v>630</v>
      </c>
      <c r="B513" t="s">
        <v>631</v>
      </c>
      <c r="C513" t="s">
        <v>4</v>
      </c>
      <c r="D513" s="6"/>
      <c r="E513" s="9" t="str">
        <f>HYPERLINK("http://plants.ensembl.org/Triticum_aestivum/Gene/Summary?g=TRIAE_CS42_5AL_TGACv1_377152_AA1244540","TRIAE_CS42_5AL_TGACv1_377152_AA1244540")</f>
        <v>TRIAE_CS42_5AL_TGACv1_377152_AA1244540</v>
      </c>
      <c r="F513" s="9" t="str">
        <f>HYPERLINK("http://mar2016-plants.ensembl.org/Triticum_aestivum/Gene/Summary?db=core;g=Traes_5AL_6F83AEE98","Traes_5AL_6F83AEE98")</f>
        <v>Traes_5AL_6F83AEE98</v>
      </c>
      <c r="G513" t="s">
        <v>1015</v>
      </c>
      <c r="H513" s="8" t="str">
        <f>HYPERLINK("http://plants.ensembl.org/Brachypodium_distachyon/Gene/Summary?g=Bradi4g31030","Bradi4g31030")</f>
        <v>Bradi4g31030</v>
      </c>
      <c r="I513" s="8" t="str">
        <f>HYPERLINK("http://plants.ensembl.org/Arabidopsis_thaliana/Gene/Summary?g=AT5G20910","AT5G20910")</f>
        <v>AT5G20910</v>
      </c>
      <c r="J513" s="9" t="str">
        <f>HYPERLINK("http://plants.ensembl.org/Oryza_sativa/Gene/Summary?db=otherfeatures;g=LOC_Os09g26400","LOC_Os09g26400")</f>
        <v>LOC_Os09g26400</v>
      </c>
      <c r="K513" s="9" t="str">
        <f>HYPERLINK("http://plants.ensembl.org/Zea_mays/Gene/Summary?db=otherfeatures;g=GRMZM2G140160","GRMZM2G140160")</f>
        <v>GRMZM2G140160</v>
      </c>
      <c r="L513" s="6"/>
      <c r="M513" t="s">
        <v>973</v>
      </c>
      <c r="N513" t="s">
        <v>973</v>
      </c>
      <c r="O513" t="s">
        <v>973</v>
      </c>
      <c r="P513" t="s">
        <v>973</v>
      </c>
      <c r="S513">
        <v>1</v>
      </c>
      <c r="T513" s="6"/>
      <c r="U513" s="11">
        <v>9.1182982902134277</v>
      </c>
      <c r="V513" s="11">
        <v>9.6909250038857646</v>
      </c>
      <c r="W513" s="11">
        <v>8.423874500315522</v>
      </c>
      <c r="X513" s="11">
        <v>9.0444534107203491</v>
      </c>
      <c r="Y513" s="11">
        <v>8.7847352745738192</v>
      </c>
      <c r="Z513" s="11">
        <v>8.8663777265395023</v>
      </c>
      <c r="AA513" s="11">
        <v>8.1211185209516028</v>
      </c>
      <c r="AB513" s="11">
        <v>8.7974765032101061</v>
      </c>
      <c r="AC513" s="11">
        <v>7.848209788553584</v>
      </c>
      <c r="AD513" s="11">
        <v>8.0267865985526488</v>
      </c>
      <c r="AE513" s="11">
        <v>7.7214036495605711</v>
      </c>
      <c r="AF513" s="11">
        <v>7.7299474228969007</v>
      </c>
      <c r="AG513" s="11">
        <v>7.8248859942036235</v>
      </c>
      <c r="AH513" s="11">
        <v>8.0754397500493145</v>
      </c>
      <c r="AI513" s="11">
        <v>7.7397281880887858</v>
      </c>
      <c r="AJ513" s="11">
        <v>7.8999586505131489</v>
      </c>
      <c r="AK513" s="6"/>
      <c r="AL513" t="s">
        <v>1077</v>
      </c>
      <c r="AM513">
        <v>119</v>
      </c>
      <c r="AN513" s="6"/>
      <c r="AO513" s="20">
        <v>1.2917000000000001</v>
      </c>
      <c r="AP513" s="20">
        <v>1.7804</v>
      </c>
      <c r="AQ513" s="20">
        <v>0.70779999999999998</v>
      </c>
      <c r="AR513" s="20">
        <v>1.3116000000000001</v>
      </c>
      <c r="AS513" s="20">
        <v>0.96279999999999999</v>
      </c>
      <c r="AT513" s="20">
        <v>0.79049999999999998</v>
      </c>
      <c r="AU513" s="20">
        <v>0.38250000000000001</v>
      </c>
      <c r="AV513" s="20">
        <v>0.89900000000000002</v>
      </c>
      <c r="AW513" s="6"/>
      <c r="AX513" s="18">
        <v>6.0909999999999998E-15</v>
      </c>
      <c r="AY513" s="18">
        <v>1.5969999999999999E-23</v>
      </c>
      <c r="AZ513" s="18">
        <v>1.129E-5</v>
      </c>
      <c r="BA513" s="18">
        <v>3.4739999999999998E-16</v>
      </c>
      <c r="BB513" s="18">
        <v>1.0689999999999999E-9</v>
      </c>
      <c r="BC513" s="18">
        <v>6.7589999999999996E-7</v>
      </c>
      <c r="BD513" s="18">
        <v>1.7590000000000001E-2</v>
      </c>
      <c r="BE513" s="18">
        <v>1.8539999999999999E-8</v>
      </c>
      <c r="BF513" s="13"/>
      <c r="BG513" t="s">
        <v>1299</v>
      </c>
      <c r="BH513" t="s">
        <v>1193</v>
      </c>
      <c r="BI513" t="s">
        <v>1113</v>
      </c>
      <c r="BJ513" t="s">
        <v>1114</v>
      </c>
      <c r="BK513" t="s">
        <v>1115</v>
      </c>
      <c r="BL513" t="s">
        <v>1116</v>
      </c>
      <c r="BM513" t="s">
        <v>1117</v>
      </c>
      <c r="BN513" s="13"/>
      <c r="BO513" t="s">
        <v>973</v>
      </c>
      <c r="BP513" t="s">
        <v>973</v>
      </c>
      <c r="BQ513" t="s">
        <v>973</v>
      </c>
      <c r="BR513" t="s">
        <v>973</v>
      </c>
    </row>
    <row r="514" spans="1:70" x14ac:dyDescent="0.25">
      <c r="A514" t="s">
        <v>736</v>
      </c>
      <c r="B514" t="s">
        <v>631</v>
      </c>
      <c r="C514" t="s">
        <v>4</v>
      </c>
      <c r="D514" s="6"/>
      <c r="E514" s="9" t="str">
        <f>HYPERLINK("http://plants.ensembl.org/Triticum_aestivum/Gene/Summary?g=TRIAE_CS42_5DL_TGACv1_434618_AA1438850","TRIAE_CS42_5DL_TGACv1_434618_AA1438850")</f>
        <v>TRIAE_CS42_5DL_TGACv1_434618_AA1438850</v>
      </c>
      <c r="F514" s="9" t="str">
        <f>HYPERLINK("http://mar2016-plants.ensembl.org/Triticum_aestivum/Gene/Summary?db=core;g=Traes_5DL_25C753D84","Traes_5DL_25C753D84")</f>
        <v>Traes_5DL_25C753D84</v>
      </c>
      <c r="G514" t="s">
        <v>1015</v>
      </c>
      <c r="H514" s="8" t="str">
        <f>HYPERLINK("http://plants.ensembl.org/Brachypodium_distachyon/Gene/Summary?g=Bradi4g31030","Bradi4g31030")</f>
        <v>Bradi4g31030</v>
      </c>
      <c r="I514" s="8" t="str">
        <f>HYPERLINK("http://plants.ensembl.org/Arabidopsis_thaliana/Gene/Summary?g=AT5G20910","AT5G20910")</f>
        <v>AT5G20910</v>
      </c>
      <c r="J514" s="9" t="str">
        <f>HYPERLINK("http://plants.ensembl.org/Oryza_sativa/Gene/Summary?db=otherfeatures;g=LOC_Os09g26400","LOC_Os09g26400")</f>
        <v>LOC_Os09g26400</v>
      </c>
      <c r="K514" s="9" t="str">
        <f>HYPERLINK("http://plants.ensembl.org/Zea_mays/Gene/Summary?db=otherfeatures;g=GRMZM2G140160","GRMZM2G140160")</f>
        <v>GRMZM2G140160</v>
      </c>
      <c r="L514" s="6"/>
      <c r="M514" t="s">
        <v>973</v>
      </c>
      <c r="N514" t="s">
        <v>973</v>
      </c>
      <c r="O514" t="s">
        <v>973</v>
      </c>
      <c r="P514" t="s">
        <v>973</v>
      </c>
      <c r="S514">
        <v>1</v>
      </c>
      <c r="T514" s="6"/>
      <c r="U514" s="11">
        <v>10.483928374277889</v>
      </c>
      <c r="V514" s="11">
        <v>10.992547877878877</v>
      </c>
      <c r="W514" s="11">
        <v>9.2342377623305829</v>
      </c>
      <c r="X514" s="11">
        <v>9.7587794724334511</v>
      </c>
      <c r="Y514" s="11">
        <v>9.7134773643431078</v>
      </c>
      <c r="Z514" s="11">
        <v>9.6862277783473036</v>
      </c>
      <c r="AA514" s="11">
        <v>9.1101649378193859</v>
      </c>
      <c r="AB514" s="11">
        <v>9.4863693295715432</v>
      </c>
      <c r="AC514" s="11">
        <v>8.0037307753218663</v>
      </c>
      <c r="AD514" s="11">
        <v>7.9126267138946158</v>
      </c>
      <c r="AE514" s="11">
        <v>7.9515135849948892</v>
      </c>
      <c r="AF514" s="11">
        <v>8.1480933379181568</v>
      </c>
      <c r="AG514" s="11">
        <v>7.945646521280568</v>
      </c>
      <c r="AH514" s="11">
        <v>8.1933766891335011</v>
      </c>
      <c r="AI514" s="11">
        <v>8.0201310123725627</v>
      </c>
      <c r="AJ514" s="11">
        <v>8.2380401978036737</v>
      </c>
      <c r="AK514" s="6"/>
      <c r="AL514" t="s">
        <v>1077</v>
      </c>
      <c r="AM514" s="12">
        <v>4392</v>
      </c>
      <c r="AN514" s="6"/>
      <c r="AO514" s="20">
        <v>2.4839000000000002</v>
      </c>
      <c r="AP514" s="20">
        <v>3.0836999999999999</v>
      </c>
      <c r="AQ514" s="20">
        <v>1.2841</v>
      </c>
      <c r="AR514" s="20">
        <v>1.6153</v>
      </c>
      <c r="AS514" s="20">
        <v>1.7679</v>
      </c>
      <c r="AT514" s="20">
        <v>1.4916</v>
      </c>
      <c r="AU514" s="20">
        <v>1.0905</v>
      </c>
      <c r="AV514" s="20">
        <v>1.2482</v>
      </c>
      <c r="AW514" s="6"/>
      <c r="AX514" s="18">
        <v>3.7070000000000002E-29</v>
      </c>
      <c r="AY514" s="18">
        <v>6.7109999999999999E-40</v>
      </c>
      <c r="AZ514" s="18">
        <v>5.5640000000000002E-9</v>
      </c>
      <c r="BA514" s="18">
        <v>2.0040000000000001E-13</v>
      </c>
      <c r="BB514" s="18">
        <v>5.7549999999999998E-16</v>
      </c>
      <c r="BC514" s="18">
        <v>1.0990000000000001E-11</v>
      </c>
      <c r="BD514" s="18">
        <v>6.9630000000000001E-7</v>
      </c>
      <c r="BE514" s="18">
        <v>1.2569999999999999E-8</v>
      </c>
      <c r="BF514" s="13"/>
      <c r="BG514" t="s">
        <v>1131</v>
      </c>
      <c r="BH514" t="s">
        <v>1144</v>
      </c>
      <c r="BI514" t="s">
        <v>1113</v>
      </c>
      <c r="BJ514" t="s">
        <v>1114</v>
      </c>
      <c r="BK514" t="s">
        <v>1115</v>
      </c>
      <c r="BL514" t="s">
        <v>1116</v>
      </c>
      <c r="BM514" t="s">
        <v>1117</v>
      </c>
      <c r="BN514" s="13"/>
      <c r="BO514" t="s">
        <v>973</v>
      </c>
      <c r="BP514" t="s">
        <v>973</v>
      </c>
      <c r="BQ514" t="s">
        <v>973</v>
      </c>
      <c r="BR514" t="s">
        <v>973</v>
      </c>
    </row>
    <row r="515" spans="1:70" x14ac:dyDescent="0.25">
      <c r="A515" t="s">
        <v>338</v>
      </c>
      <c r="B515" t="s">
        <v>339</v>
      </c>
      <c r="C515" t="s">
        <v>340</v>
      </c>
      <c r="D515" s="6"/>
      <c r="E515" s="9" t="str">
        <f>HYPERLINK("http://plants.ensembl.org/Triticum_aestivum/Gene/Summary?g=TRIAE_CS42_3AL_TGACv1_193608_AA0614790","TRIAE_CS42_3AL_TGACv1_193608_AA0614790")</f>
        <v>TRIAE_CS42_3AL_TGACv1_193608_AA0614790</v>
      </c>
      <c r="F515" s="9" t="str">
        <f>HYPERLINK("http://mar2016-plants.ensembl.org/Triticum_aestivum/Gene/Summary?db=core;g=Traes_3AL_DD22B2AAC","Traes_3AL_DD22B2AAC")</f>
        <v>Traes_3AL_DD22B2AAC</v>
      </c>
      <c r="G515" t="s">
        <v>999</v>
      </c>
      <c r="H515" s="8" t="str">
        <f>HYPERLINK("http://plants.ensembl.org/Brachypodium_distachyon/Gene/Summary?g=Bradi2g55390","Bradi2g55390")</f>
        <v>Bradi2g55390</v>
      </c>
      <c r="I515" s="8" t="str">
        <f>HYPERLINK("http://plants.ensembl.org/Arabidopsis_thaliana/Gene/Summary?g=AT5G01270","AT5G01270")</f>
        <v>AT5G01270</v>
      </c>
      <c r="J515" s="9" t="str">
        <f>HYPERLINK("http://plants.ensembl.org/Oryza_sativa/Gene/Summary?db=otherfeatures;g=LOC_Os01g63820","LOC_Os01g63820")</f>
        <v>LOC_Os01g63820</v>
      </c>
      <c r="K515" s="9" t="str">
        <f>HYPERLINK("http://plants.ensembl.org/Zea_mays/Gene/Summary?db=otherfeatures;g=GRMZM2G039650","GRMZM2G039650")</f>
        <v>GRMZM2G039650</v>
      </c>
      <c r="L515" s="6"/>
      <c r="M515" t="s">
        <v>973</v>
      </c>
      <c r="N515" t="s">
        <v>973</v>
      </c>
      <c r="O515" t="s">
        <v>973</v>
      </c>
      <c r="P515">
        <v>1</v>
      </c>
      <c r="S515" t="s">
        <v>973</v>
      </c>
      <c r="T515" s="6"/>
      <c r="U515" s="11">
        <v>8.7585408170101999</v>
      </c>
      <c r="V515" s="11">
        <v>9.7888408220043797</v>
      </c>
      <c r="W515" s="11">
        <v>8.6200697431980977</v>
      </c>
      <c r="X515" s="11">
        <v>9.1185743843837486</v>
      </c>
      <c r="Y515" s="11">
        <v>8.7940087782931933</v>
      </c>
      <c r="Z515" s="11">
        <v>9.0596831682007082</v>
      </c>
      <c r="AA515" s="11">
        <v>8.3002288409682325</v>
      </c>
      <c r="AB515" s="11">
        <v>9.050685523421393</v>
      </c>
      <c r="AC515" s="11">
        <v>8.4262446239331741</v>
      </c>
      <c r="AD515" s="11">
        <v>8.2766841554246398</v>
      </c>
      <c r="AE515" s="11">
        <v>8.5342791454023104</v>
      </c>
      <c r="AF515" s="11">
        <v>8.8886354992956456</v>
      </c>
      <c r="AG515" s="11">
        <v>8.5628571561204083</v>
      </c>
      <c r="AH515" s="11">
        <v>8.847345438614493</v>
      </c>
      <c r="AI515" s="11">
        <v>8.631571059584406</v>
      </c>
      <c r="AJ515" s="11">
        <v>8.8299058875994323</v>
      </c>
      <c r="AK515" s="6"/>
      <c r="AL515" t="s">
        <v>1096</v>
      </c>
      <c r="AM515">
        <v>0</v>
      </c>
      <c r="AN515" s="6"/>
      <c r="AO515" s="20">
        <v>0.34439999999999998</v>
      </c>
      <c r="AP515" s="20">
        <v>1.5934999999999999</v>
      </c>
      <c r="AQ515" s="20">
        <v>8.5699999999999998E-2</v>
      </c>
      <c r="AR515" s="20">
        <v>0.2359</v>
      </c>
      <c r="AS515" s="20">
        <v>0.23130000000000001</v>
      </c>
      <c r="AT515" s="20">
        <v>0.21010000000000001</v>
      </c>
      <c r="AU515" s="20">
        <v>-0.33389999999999997</v>
      </c>
      <c r="AV515" s="20">
        <v>0.221</v>
      </c>
      <c r="AW515" s="6"/>
      <c r="AX515" s="18">
        <v>6.83E-2</v>
      </c>
      <c r="AY515" s="18">
        <v>9.8819999999999996E-16</v>
      </c>
      <c r="AZ515" s="18">
        <v>0.63759999999999994</v>
      </c>
      <c r="BA515" s="18">
        <v>0.1918</v>
      </c>
      <c r="BB515" s="18">
        <v>0.20069999999999999</v>
      </c>
      <c r="BC515" s="18">
        <v>0.24490000000000001</v>
      </c>
      <c r="BD515" s="18">
        <v>6.6199999999999995E-2</v>
      </c>
      <c r="BE515" s="18">
        <v>0.2215</v>
      </c>
      <c r="BF515" s="13"/>
      <c r="BG515" t="s">
        <v>1125</v>
      </c>
      <c r="BH515" t="s">
        <v>1112</v>
      </c>
      <c r="BI515" t="s">
        <v>1113</v>
      </c>
      <c r="BJ515" t="s">
        <v>1127</v>
      </c>
      <c r="BK515" t="s">
        <v>1115</v>
      </c>
      <c r="BL515" t="s">
        <v>1116</v>
      </c>
      <c r="BM515" t="s">
        <v>1117</v>
      </c>
      <c r="BN515" s="13"/>
      <c r="BO515" t="s">
        <v>973</v>
      </c>
      <c r="BP515" t="s">
        <v>973</v>
      </c>
      <c r="BQ515" t="s">
        <v>973</v>
      </c>
      <c r="BR515" t="s">
        <v>973</v>
      </c>
    </row>
    <row r="516" spans="1:70" x14ac:dyDescent="0.25">
      <c r="A516" t="s">
        <v>433</v>
      </c>
      <c r="B516" t="s">
        <v>339</v>
      </c>
      <c r="C516" t="s">
        <v>340</v>
      </c>
      <c r="D516" s="6"/>
      <c r="E516" s="9" t="str">
        <f>HYPERLINK("http://plants.ensembl.org/Triticum_aestivum/Gene/Summary?g=TRIAE_CS42_3DL_TGACv1_251077_AA0877170","TRIAE_CS42_3DL_TGACv1_251077_AA0877170")</f>
        <v>TRIAE_CS42_3DL_TGACv1_251077_AA0877170</v>
      </c>
      <c r="F516" s="9" t="str">
        <f>HYPERLINK("http://mar2016-plants.ensembl.org/Triticum_aestivum/Gene/Summary?db=core;g=Traes_3DL_0FDCBDD0D","Traes_3DL_0FDCBDD0D")</f>
        <v>Traes_3DL_0FDCBDD0D</v>
      </c>
      <c r="G516" t="s">
        <v>999</v>
      </c>
      <c r="H516" s="8" t="str">
        <f>HYPERLINK("http://plants.ensembl.org/Brachypodium_distachyon/Gene/Summary?g=Bradi2g55390","Bradi2g55390")</f>
        <v>Bradi2g55390</v>
      </c>
      <c r="I516" s="1" t="s">
        <v>1051</v>
      </c>
      <c r="J516" s="9" t="str">
        <f>HYPERLINK("http://plants.ensembl.org/Oryza_sativa/Gene/Summary?db=otherfeatures;g=LOC_Os01g63820","LOC_Os01g63820")</f>
        <v>LOC_Os01g63820</v>
      </c>
      <c r="K516" s="9" t="str">
        <f>HYPERLINK("http://plants.ensembl.org/Zea_mays/Gene/Summary?db=otherfeatures;g=GRMZM2G039650","GRMZM2G039650")</f>
        <v>GRMZM2G039650</v>
      </c>
      <c r="L516" s="6"/>
      <c r="M516" t="s">
        <v>973</v>
      </c>
      <c r="N516" t="s">
        <v>973</v>
      </c>
      <c r="O516" t="s">
        <v>973</v>
      </c>
      <c r="P516">
        <v>1</v>
      </c>
      <c r="S516" t="s">
        <v>973</v>
      </c>
      <c r="T516" s="6"/>
      <c r="U516" s="11">
        <v>10.085462367583807</v>
      </c>
      <c r="V516" s="11">
        <v>11.177665987722943</v>
      </c>
      <c r="W516" s="11">
        <v>9.0228602798504571</v>
      </c>
      <c r="X516" s="11">
        <v>9.477633551229701</v>
      </c>
      <c r="Y516" s="11">
        <v>9.3730020697419842</v>
      </c>
      <c r="Z516" s="11">
        <v>9.3982196669363525</v>
      </c>
      <c r="AA516" s="11">
        <v>8.6293426545297169</v>
      </c>
      <c r="AB516" s="11">
        <v>9.520821697690435</v>
      </c>
      <c r="AC516" s="11">
        <v>8.8941001774896655</v>
      </c>
      <c r="AD516" s="11">
        <v>8.7171505374232812</v>
      </c>
      <c r="AE516" s="11">
        <v>8.5558244613707828</v>
      </c>
      <c r="AF516" s="11">
        <v>8.9107375580089254</v>
      </c>
      <c r="AG516" s="11">
        <v>8.5451611563705914</v>
      </c>
      <c r="AH516" s="11">
        <v>8.8651415363081352</v>
      </c>
      <c r="AI516" s="11">
        <v>8.580377546456285</v>
      </c>
      <c r="AJ516" s="11">
        <v>8.8979960691351447</v>
      </c>
      <c r="AK516" s="6"/>
      <c r="AL516" t="s">
        <v>1096</v>
      </c>
      <c r="AM516">
        <v>0</v>
      </c>
      <c r="AN516" s="6"/>
      <c r="AO516" s="20">
        <v>1.1977</v>
      </c>
      <c r="AP516" s="20">
        <v>2.4535999999999998</v>
      </c>
      <c r="AQ516" s="20">
        <v>0.46629999999999999</v>
      </c>
      <c r="AR516" s="20">
        <v>0.57220000000000004</v>
      </c>
      <c r="AS516" s="20">
        <v>0.82799999999999996</v>
      </c>
      <c r="AT516" s="20">
        <v>0.53129999999999999</v>
      </c>
      <c r="AU516" s="20">
        <v>5.0599999999999999E-2</v>
      </c>
      <c r="AV516" s="20">
        <v>0.62250000000000005</v>
      </c>
      <c r="AW516" s="6"/>
      <c r="AX516" s="18">
        <v>2.0390000000000001E-9</v>
      </c>
      <c r="AY516" s="18">
        <v>2.5430000000000002E-32</v>
      </c>
      <c r="AZ516" s="18">
        <v>1.9009999999999999E-2</v>
      </c>
      <c r="BA516" s="18">
        <v>3.8539999999999998E-3</v>
      </c>
      <c r="BB516" s="18">
        <v>2.7679999999999999E-5</v>
      </c>
      <c r="BC516" s="18">
        <v>7.2960000000000004E-3</v>
      </c>
      <c r="BD516" s="18">
        <v>0.79910000000000003</v>
      </c>
      <c r="BE516" s="18">
        <v>1.637E-3</v>
      </c>
      <c r="BF516" s="13"/>
      <c r="BG516" t="s">
        <v>1191</v>
      </c>
      <c r="BH516" t="s">
        <v>1144</v>
      </c>
      <c r="BI516" t="s">
        <v>1113</v>
      </c>
      <c r="BJ516" t="s">
        <v>1127</v>
      </c>
      <c r="BK516" t="s">
        <v>1115</v>
      </c>
      <c r="BL516" t="s">
        <v>1116</v>
      </c>
      <c r="BM516" t="s">
        <v>1117</v>
      </c>
      <c r="BN516" s="13"/>
      <c r="BO516" t="s">
        <v>973</v>
      </c>
      <c r="BP516" t="s">
        <v>973</v>
      </c>
      <c r="BQ516" t="s">
        <v>973</v>
      </c>
      <c r="BR516" t="s">
        <v>973</v>
      </c>
    </row>
    <row r="517" spans="1:70" x14ac:dyDescent="0.25">
      <c r="A517" t="s">
        <v>350</v>
      </c>
      <c r="B517" t="s">
        <v>351</v>
      </c>
      <c r="C517" t="s">
        <v>352</v>
      </c>
      <c r="D517" s="6"/>
      <c r="E517" s="9" t="str">
        <f>HYPERLINK("http://plants.ensembl.org/Triticum_aestivum/Gene/Summary?g=TRIAE_CS42_3AL_TGACv1_194802_AA0639830","TRIAE_CS42_3AL_TGACv1_194802_AA0639830")</f>
        <v>TRIAE_CS42_3AL_TGACv1_194802_AA0639830</v>
      </c>
      <c r="F517" s="9" t="str">
        <f>HYPERLINK("http://mar2016-plants.ensembl.org/Triticum_aestivum/Gene/Summary?db=core;g=Traes_3AL_EFFA5EBDD","Traes_3AL_EFFA5EBDD")</f>
        <v>Traes_3AL_EFFA5EBDD</v>
      </c>
      <c r="H517" s="1" t="s">
        <v>1051</v>
      </c>
      <c r="I517" s="1" t="s">
        <v>1051</v>
      </c>
      <c r="J517" s="1" t="s">
        <v>1051</v>
      </c>
      <c r="L517" s="6"/>
      <c r="M517" s="1">
        <v>1</v>
      </c>
      <c r="N517" s="1" t="s">
        <v>973</v>
      </c>
      <c r="O517" s="1" t="s">
        <v>973</v>
      </c>
      <c r="P517" s="1" t="s">
        <v>973</v>
      </c>
      <c r="Q517" s="1" t="s">
        <v>973</v>
      </c>
      <c r="R517" s="1" t="s">
        <v>973</v>
      </c>
      <c r="S517" s="1"/>
      <c r="T517" s="6"/>
      <c r="U517" s="11">
        <v>7.2190481294770423</v>
      </c>
      <c r="V517" s="11">
        <v>6.9696420823857848</v>
      </c>
      <c r="W517" s="11">
        <v>4.7261663780850647</v>
      </c>
      <c r="X517" s="11">
        <v>4.9881211304640214</v>
      </c>
      <c r="Y517" s="11">
        <v>4.7161220902146646</v>
      </c>
      <c r="Z517" s="11">
        <v>4.8439051433561202</v>
      </c>
      <c r="AA517" s="11">
        <v>4.3031670157111499</v>
      </c>
      <c r="AB517" s="11">
        <v>5.3515517734064826</v>
      </c>
      <c r="AC517" s="11">
        <v>3.4781823119456821</v>
      </c>
      <c r="AD517" s="11">
        <v>4.5902986068207099</v>
      </c>
      <c r="AE517" s="11">
        <v>2.9699148611146051</v>
      </c>
      <c r="AF517" s="11">
        <v>3.7796764620934908</v>
      </c>
      <c r="AG517" s="11">
        <v>3.9093378942917427</v>
      </c>
      <c r="AH517" s="11">
        <v>3.8338885871714017</v>
      </c>
      <c r="AI517" s="11">
        <v>3.2041041897506708</v>
      </c>
      <c r="AJ517" s="11">
        <v>3.6213368858135637</v>
      </c>
      <c r="AK517" s="6"/>
      <c r="AL517" t="s">
        <v>1077</v>
      </c>
      <c r="AM517">
        <v>1</v>
      </c>
      <c r="AN517" s="6"/>
      <c r="AO517" s="20">
        <v>3.8492000000000002</v>
      </c>
      <c r="AP517" s="20">
        <v>2.6120999999999999</v>
      </c>
      <c r="AQ517" s="20">
        <v>1.8875999999999999</v>
      </c>
      <c r="AR517" s="20">
        <v>1.2545999999999999</v>
      </c>
      <c r="AS517" s="20">
        <v>0.84150000000000003</v>
      </c>
      <c r="AT517" s="20">
        <v>1.0017</v>
      </c>
      <c r="AU517" s="20">
        <v>1.1869000000000001</v>
      </c>
      <c r="AV517" s="20">
        <v>1.7959000000000001</v>
      </c>
      <c r="AW517" s="6"/>
      <c r="AX517" s="18">
        <v>2.0259999999999999E-17</v>
      </c>
      <c r="AY517" s="18">
        <v>3.3400000000000001E-8</v>
      </c>
      <c r="AZ517" s="18">
        <v>9.3200000000000002E-5</v>
      </c>
      <c r="BA517" s="18">
        <v>5.012E-3</v>
      </c>
      <c r="BB517" s="18">
        <v>5.0869999999999999E-2</v>
      </c>
      <c r="BC517" s="18">
        <v>2.496E-2</v>
      </c>
      <c r="BD517" s="18">
        <v>1.1480000000000001E-2</v>
      </c>
      <c r="BE517" s="18">
        <v>5.2559999999999998E-5</v>
      </c>
      <c r="BF517" s="13"/>
      <c r="BG517" t="s">
        <v>1191</v>
      </c>
      <c r="BH517" t="s">
        <v>1132</v>
      </c>
      <c r="BI517" t="s">
        <v>1113</v>
      </c>
      <c r="BJ517" t="s">
        <v>1114</v>
      </c>
      <c r="BK517" t="s">
        <v>1115</v>
      </c>
      <c r="BL517" t="s">
        <v>1116</v>
      </c>
      <c r="BM517" t="s">
        <v>1117</v>
      </c>
      <c r="BN517" s="13"/>
      <c r="BO517" t="s">
        <v>973</v>
      </c>
      <c r="BP517" t="s">
        <v>973</v>
      </c>
      <c r="BQ517">
        <v>1</v>
      </c>
      <c r="BR517" t="s">
        <v>973</v>
      </c>
    </row>
    <row r="518" spans="1:70" x14ac:dyDescent="0.25">
      <c r="A518" t="s">
        <v>356</v>
      </c>
      <c r="B518" t="s">
        <v>357</v>
      </c>
      <c r="C518" t="s">
        <v>352</v>
      </c>
      <c r="D518" s="6"/>
      <c r="E518" s="9" t="str">
        <f>HYPERLINK("http://plants.ensembl.org/Triticum_aestivum/Gene/Summary?g=TRIAE_CS42_3AL_TGACv1_194533_AA0635240","TRIAE_CS42_3AL_TGACv1_194533_AA0635240")</f>
        <v>TRIAE_CS42_3AL_TGACv1_194533_AA0635240</v>
      </c>
      <c r="F518" s="9" t="str">
        <f>HYPERLINK("http://mar2016-plants.ensembl.org/Triticum_aestivum/Gene/Summary?db=core;g=Traes_3AL_418352306","Traes_3AL_418352306")</f>
        <v>Traes_3AL_418352306</v>
      </c>
      <c r="H518" s="1" t="s">
        <v>1051</v>
      </c>
      <c r="I518" s="1" t="s">
        <v>1051</v>
      </c>
      <c r="J518" s="1" t="s">
        <v>1051</v>
      </c>
      <c r="L518" s="6"/>
      <c r="M518" s="1">
        <v>1</v>
      </c>
      <c r="N518" s="1" t="s">
        <v>973</v>
      </c>
      <c r="O518" s="1" t="s">
        <v>973</v>
      </c>
      <c r="P518" s="1" t="s">
        <v>973</v>
      </c>
      <c r="Q518" s="1" t="s">
        <v>973</v>
      </c>
      <c r="R518" s="1" t="s">
        <v>973</v>
      </c>
      <c r="S518" s="1"/>
      <c r="T518" s="6"/>
      <c r="U518" s="11">
        <v>9.0650544394215924</v>
      </c>
      <c r="V518" s="11">
        <v>9.378145122916612</v>
      </c>
      <c r="W518" s="11">
        <v>7.2258372481626738</v>
      </c>
      <c r="X518" s="11">
        <v>5.9519257703167279</v>
      </c>
      <c r="Y518" s="11">
        <v>8.0434640828436947</v>
      </c>
      <c r="Z518" s="11">
        <v>7.3428726347956204</v>
      </c>
      <c r="AA518" s="11">
        <v>5.6030664657407989</v>
      </c>
      <c r="AB518" s="11">
        <v>5.9363748930704725</v>
      </c>
      <c r="AC518" s="11">
        <v>2.0876325600954138</v>
      </c>
      <c r="AD518" s="11">
        <v>0</v>
      </c>
      <c r="AE518" s="11">
        <v>2.1120105877001567</v>
      </c>
      <c r="AF518" s="11">
        <v>0</v>
      </c>
      <c r="AG518" s="11">
        <v>0.65055012990656158</v>
      </c>
      <c r="AH518" s="11">
        <v>0</v>
      </c>
      <c r="AI518" s="11">
        <v>0.3029136531679405</v>
      </c>
      <c r="AJ518" s="11">
        <v>0</v>
      </c>
      <c r="AK518" s="6"/>
      <c r="AL518" t="s">
        <v>1077</v>
      </c>
      <c r="AM518">
        <v>1166</v>
      </c>
      <c r="AN518" s="6"/>
      <c r="AO518" s="20">
        <v>7.4416000000000002</v>
      </c>
      <c r="AP518" s="20">
        <v>10.164099999999999</v>
      </c>
      <c r="AQ518" s="20">
        <v>5.4348000000000001</v>
      </c>
      <c r="AR518" s="20">
        <v>7.7866</v>
      </c>
      <c r="AS518" s="20">
        <v>8.3584999999999994</v>
      </c>
      <c r="AT518" s="20">
        <v>9.1229999999999993</v>
      </c>
      <c r="AU518" s="20">
        <v>6.7531999999999996</v>
      </c>
      <c r="AV518" s="20">
        <v>7.9141000000000004</v>
      </c>
      <c r="AW518" s="6"/>
      <c r="AX518" s="18">
        <v>4.8260000000000001E-32</v>
      </c>
      <c r="AY518" s="18">
        <v>7.5270000000000002E-21</v>
      </c>
      <c r="AZ518" s="18">
        <v>1.033E-19</v>
      </c>
      <c r="BA518" s="18">
        <v>3.876E-12</v>
      </c>
      <c r="BB518" s="18">
        <v>1.5059999999999999E-26</v>
      </c>
      <c r="BC518" s="18">
        <v>3.5650000000000002E-16</v>
      </c>
      <c r="BD518" s="18">
        <v>3.8750000000000001E-10</v>
      </c>
      <c r="BE518" s="18">
        <v>1.762E-12</v>
      </c>
      <c r="BF518" s="13"/>
      <c r="BG518" t="s">
        <v>1357</v>
      </c>
      <c r="BH518" t="s">
        <v>1144</v>
      </c>
      <c r="BI518" t="s">
        <v>1113</v>
      </c>
      <c r="BJ518" t="s">
        <v>1296</v>
      </c>
      <c r="BK518" t="s">
        <v>1115</v>
      </c>
      <c r="BL518" t="s">
        <v>1399</v>
      </c>
      <c r="BM518" t="s">
        <v>1117</v>
      </c>
      <c r="BN518" s="13"/>
      <c r="BO518" t="s">
        <v>973</v>
      </c>
      <c r="BP518" t="s">
        <v>973</v>
      </c>
      <c r="BQ518" t="s">
        <v>973</v>
      </c>
      <c r="BR518" t="s">
        <v>973</v>
      </c>
    </row>
    <row r="519" spans="1:70" x14ac:dyDescent="0.25">
      <c r="A519" t="s">
        <v>174</v>
      </c>
      <c r="B519" t="s">
        <v>175</v>
      </c>
      <c r="C519" t="s">
        <v>176</v>
      </c>
      <c r="D519" s="6"/>
      <c r="E519" s="9" t="str">
        <f>HYPERLINK("http://plants.ensembl.org/Triticum_aestivum/Gene/Summary?g=TRIAE_CS42_2AL_TGACv1_093541_AA0282220","TRIAE_CS42_2AL_TGACv1_093541_AA0282220")</f>
        <v>TRIAE_CS42_2AL_TGACv1_093541_AA0282220</v>
      </c>
      <c r="F519" s="9" t="str">
        <f>HYPERLINK("http://mar2016-plants.ensembl.org/Triticum_aestivum/Gene/Summary?db=core;g=Traes_2AL_4130E8962","Traes_2AL_4130E8962")</f>
        <v>Traes_2AL_4130E8962</v>
      </c>
      <c r="H519" s="8" t="str">
        <f>HYPERLINK("http://plants.ensembl.org/Brachypodium_distachyon/Gene/Summary?g=Bradi5g21060","Bradi5g21060")</f>
        <v>Bradi5g21060</v>
      </c>
      <c r="I519" s="8" t="str">
        <f>HYPERLINK("http://plants.ensembl.org/Arabidopsis_thaliana/Gene/Summary?g=AT2G24400","AT2G24400")</f>
        <v>AT2G24400</v>
      </c>
      <c r="J519" s="9" t="str">
        <f>HYPERLINK("http://plants.ensembl.org/Oryza_sativa/Gene/Summary?db=otherfeatures;g=LOC_Os04g51890","LOC_Os04g51890")</f>
        <v>LOC_Os04g51890</v>
      </c>
      <c r="L519" s="6"/>
      <c r="M519" s="1" t="s">
        <v>973</v>
      </c>
      <c r="N519" s="1" t="s">
        <v>973</v>
      </c>
      <c r="O519" s="1" t="s">
        <v>973</v>
      </c>
      <c r="P519" s="1">
        <v>1</v>
      </c>
      <c r="Q519" s="1" t="s">
        <v>973</v>
      </c>
      <c r="R519" s="1" t="s">
        <v>973</v>
      </c>
      <c r="S519" s="1"/>
      <c r="T519" s="6"/>
      <c r="U519" s="11">
        <v>6.2551488287464947</v>
      </c>
      <c r="V519" s="11">
        <v>7.3849825700549658</v>
      </c>
      <c r="W519" s="11">
        <v>6.0957127810805316</v>
      </c>
      <c r="X519" s="11">
        <v>6.4834218704343147</v>
      </c>
      <c r="Y519" s="11">
        <v>5.2625058217666894</v>
      </c>
      <c r="Z519" s="11">
        <v>5.7298309867328552</v>
      </c>
      <c r="AA519" s="11">
        <v>5.1583370271671001</v>
      </c>
      <c r="AB519" s="11">
        <v>5.6010368139858278</v>
      </c>
      <c r="AC519" s="11">
        <v>2.0688198298698932</v>
      </c>
      <c r="AD519" s="11">
        <v>0.39407506562573752</v>
      </c>
      <c r="AE519" s="11">
        <v>1.8741674319575059</v>
      </c>
      <c r="AF519" s="11">
        <v>2.1612320071656987</v>
      </c>
      <c r="AG519" s="11">
        <v>0.77902152818607429</v>
      </c>
      <c r="AH519" s="11">
        <v>1.5620999287850452</v>
      </c>
      <c r="AI519" s="11">
        <v>2.0255131562263013</v>
      </c>
      <c r="AJ519" s="11">
        <v>2.2133058020344412</v>
      </c>
      <c r="AK519" s="6"/>
      <c r="AL519" t="s">
        <v>1077</v>
      </c>
      <c r="AM519">
        <v>803</v>
      </c>
      <c r="AN519" s="6"/>
      <c r="AO519" s="20">
        <v>4.5041000000000002</v>
      </c>
      <c r="AP519" s="20">
        <v>7.3997999999999999</v>
      </c>
      <c r="AQ519" s="20">
        <v>4.6844000000000001</v>
      </c>
      <c r="AR519" s="20">
        <v>4.5072999999999999</v>
      </c>
      <c r="AS519" s="20">
        <v>5.3019999999999996</v>
      </c>
      <c r="AT519" s="20">
        <v>4.6985000000000001</v>
      </c>
      <c r="AU519" s="20">
        <v>3.4340999999999999</v>
      </c>
      <c r="AV519" s="20">
        <v>3.6602000000000001</v>
      </c>
      <c r="AW519" s="6"/>
      <c r="AX519" s="18">
        <v>1.7409999999999999E-14</v>
      </c>
      <c r="AY519" s="18">
        <v>7.8499999999999994E-15</v>
      </c>
      <c r="AZ519" s="18">
        <v>5.3210000000000003E-15</v>
      </c>
      <c r="BA519" s="18">
        <v>2.359E-16</v>
      </c>
      <c r="BB519" s="18">
        <v>1.526E-13</v>
      </c>
      <c r="BC519" s="18">
        <v>2.727E-12</v>
      </c>
      <c r="BD519" s="18">
        <v>1.382E-9</v>
      </c>
      <c r="BE519" s="18">
        <v>2.3980000000000001E-11</v>
      </c>
      <c r="BF519" s="13"/>
      <c r="BG519" t="s">
        <v>1125</v>
      </c>
      <c r="BH519" t="s">
        <v>1269</v>
      </c>
      <c r="BI519" t="s">
        <v>1113</v>
      </c>
      <c r="BJ519" t="s">
        <v>1114</v>
      </c>
      <c r="BK519" t="s">
        <v>1115</v>
      </c>
      <c r="BL519" t="s">
        <v>1116</v>
      </c>
      <c r="BM519" t="s">
        <v>1117</v>
      </c>
      <c r="BN519" s="13"/>
      <c r="BO519" t="s">
        <v>973</v>
      </c>
      <c r="BP519" t="s">
        <v>973</v>
      </c>
      <c r="BQ519" t="s">
        <v>973</v>
      </c>
      <c r="BR519" t="s">
        <v>973</v>
      </c>
    </row>
    <row r="520" spans="1:70" x14ac:dyDescent="0.25">
      <c r="A520" t="s">
        <v>280</v>
      </c>
      <c r="B520" t="s">
        <v>175</v>
      </c>
      <c r="C520" t="s">
        <v>176</v>
      </c>
      <c r="D520" s="6"/>
      <c r="E520" s="9" t="str">
        <f>HYPERLINK("http://plants.ensembl.org/Triticum_aestivum/Gene/Summary?g=TRIAE_CS42_2DL_TGACv1_159094_AA0532220","TRIAE_CS42_2DL_TGACv1_159094_AA0532220")</f>
        <v>TRIAE_CS42_2DL_TGACv1_159094_AA0532220</v>
      </c>
      <c r="F520" s="9" t="str">
        <f>HYPERLINK("http://mar2016-plants.ensembl.org/Triticum_aestivum/Gene/Summary?db=core;g=Traes_2DL_6EC78D7FB","Traes_2DL_6EC78D7FB")</f>
        <v>Traes_2DL_6EC78D7FB</v>
      </c>
      <c r="H520" s="8" t="str">
        <f>HYPERLINK("http://plants.ensembl.org/Brachypodium_distachyon/Gene/Summary?g=Bradi5g21060","Bradi5g21060")</f>
        <v>Bradi5g21060</v>
      </c>
      <c r="I520" s="8" t="str">
        <f>HYPERLINK("http://plants.ensembl.org/Arabidopsis_thaliana/Gene/Summary?g=AT2G24400","AT2G24400")</f>
        <v>AT2G24400</v>
      </c>
      <c r="J520" s="9" t="str">
        <f>HYPERLINK("http://plants.ensembl.org/Oryza_sativa/Gene/Summary?db=otherfeatures;g=LOC_Os04g51890","LOC_Os04g51890")</f>
        <v>LOC_Os04g51890</v>
      </c>
      <c r="L520" s="6"/>
      <c r="M520" s="1" t="s">
        <v>973</v>
      </c>
      <c r="N520" s="1" t="s">
        <v>973</v>
      </c>
      <c r="O520" s="1" t="s">
        <v>973</v>
      </c>
      <c r="P520" s="1">
        <v>1</v>
      </c>
      <c r="Q520" s="1" t="s">
        <v>973</v>
      </c>
      <c r="R520" s="1" t="s">
        <v>973</v>
      </c>
      <c r="S520" s="1"/>
      <c r="T520" s="6"/>
      <c r="U520" s="11">
        <v>6.3364036074420937</v>
      </c>
      <c r="V520" s="11">
        <v>7.2085406698553482</v>
      </c>
      <c r="W520" s="11">
        <v>6.0166433988309098</v>
      </c>
      <c r="X520" s="11">
        <v>6.0683870584695443</v>
      </c>
      <c r="Y520" s="11">
        <v>4.9736265809235478</v>
      </c>
      <c r="Z520" s="11">
        <v>4.9738270667223841</v>
      </c>
      <c r="AA520" s="11">
        <v>5.4511275705007414</v>
      </c>
      <c r="AB520" s="11">
        <v>5.6029348724771753</v>
      </c>
      <c r="AC520" s="11">
        <v>2.5715231084516308</v>
      </c>
      <c r="AD520" s="11">
        <v>0.71861369897548444</v>
      </c>
      <c r="AE520" s="11">
        <v>2.7580543906488995</v>
      </c>
      <c r="AF520" s="11">
        <v>1.3111930751638716</v>
      </c>
      <c r="AG520" s="11">
        <v>1.007291199393751</v>
      </c>
      <c r="AH520" s="11">
        <v>1.1643143114050591</v>
      </c>
      <c r="AI520" s="11">
        <v>2.0539106809012067</v>
      </c>
      <c r="AJ520" s="11">
        <v>0</v>
      </c>
      <c r="AK520" s="6"/>
      <c r="AL520" t="s">
        <v>1077</v>
      </c>
      <c r="AM520">
        <v>1049</v>
      </c>
      <c r="AN520" s="6"/>
      <c r="AO520" s="20">
        <v>4.0854999999999997</v>
      </c>
      <c r="AP520" s="20">
        <v>6.8257000000000003</v>
      </c>
      <c r="AQ520" s="20">
        <v>3.4163000000000001</v>
      </c>
      <c r="AR520" s="20">
        <v>5.4333999999999998</v>
      </c>
      <c r="AS520" s="20">
        <v>4.9302999999999999</v>
      </c>
      <c r="AT520" s="20">
        <v>4.4790999999999999</v>
      </c>
      <c r="AU520" s="20">
        <v>3.7244999999999999</v>
      </c>
      <c r="AV520" s="20">
        <v>7.5955000000000004</v>
      </c>
      <c r="AW520" s="6"/>
      <c r="AX520" s="18">
        <v>3.2709999999999999E-13</v>
      </c>
      <c r="AY520" s="18">
        <v>9.5679999999999993E-15</v>
      </c>
      <c r="AZ520" s="18">
        <v>4.2360000000000003E-11</v>
      </c>
      <c r="BA520" s="18">
        <v>7.027E-14</v>
      </c>
      <c r="BB520" s="18">
        <v>8.8479999999999995E-12</v>
      </c>
      <c r="BC520" s="18">
        <v>7.2E-9</v>
      </c>
      <c r="BD520" s="18">
        <v>1.4700000000000001E-10</v>
      </c>
      <c r="BE520" s="18">
        <v>8.8300000000000001E-12</v>
      </c>
      <c r="BF520" s="13"/>
      <c r="BG520" t="s">
        <v>1125</v>
      </c>
      <c r="BH520" t="s">
        <v>1126</v>
      </c>
      <c r="BI520" t="s">
        <v>1113</v>
      </c>
      <c r="BJ520" t="s">
        <v>1114</v>
      </c>
      <c r="BK520" t="s">
        <v>1115</v>
      </c>
      <c r="BL520" t="s">
        <v>1116</v>
      </c>
      <c r="BM520" t="s">
        <v>1117</v>
      </c>
      <c r="BN520" s="13"/>
      <c r="BO520" t="s">
        <v>973</v>
      </c>
      <c r="BP520">
        <v>1</v>
      </c>
      <c r="BQ520" t="s">
        <v>973</v>
      </c>
      <c r="BR520" t="s">
        <v>973</v>
      </c>
    </row>
    <row r="521" spans="1:70" x14ac:dyDescent="0.25">
      <c r="A521" t="s">
        <v>354</v>
      </c>
      <c r="B521" t="s">
        <v>355</v>
      </c>
      <c r="C521" t="s">
        <v>176</v>
      </c>
      <c r="D521" s="6"/>
      <c r="E521" s="9" t="str">
        <f>HYPERLINK("http://plants.ensembl.org/Triticum_aestivum/Gene/Summary?g=TRIAE_CS42_3AL_TGACv1_196953_AA0663910","TRIAE_CS42_3AL_TGACv1_196953_AA0663910")</f>
        <v>TRIAE_CS42_3AL_TGACv1_196953_AA0663910</v>
      </c>
      <c r="H521" s="8" t="str">
        <f>HYPERLINK("http://plants.ensembl.org/Brachypodium_distachyon/Gene/Summary?g=Bradi2g59290","Bradi2g59290")</f>
        <v>Bradi2g59290</v>
      </c>
      <c r="I521" s="8" t="str">
        <f>HYPERLINK("http://plants.ensembl.org/Arabidopsis_thaliana/Gene/Summary?g=AT5G50760","AT5G50760")</f>
        <v>AT5G50760</v>
      </c>
      <c r="J521" s="9" t="str">
        <f>HYPERLINK("http://plants.ensembl.org/Oryza_sativa/Gene/Summary?db=otherfeatures;g=LOC_Os01g70050","LOC_Os01g70050")</f>
        <v>LOC_Os01g70050</v>
      </c>
      <c r="L521" s="6"/>
      <c r="M521" s="1" t="s">
        <v>973</v>
      </c>
      <c r="N521" s="1" t="s">
        <v>973</v>
      </c>
      <c r="O521" s="1" t="s">
        <v>973</v>
      </c>
      <c r="P521" s="1">
        <v>1</v>
      </c>
      <c r="Q521" s="1" t="s">
        <v>973</v>
      </c>
      <c r="R521" s="1" t="s">
        <v>973</v>
      </c>
      <c r="S521" s="1"/>
      <c r="T521" s="6"/>
      <c r="U521" s="11">
        <v>7.5910557716861664</v>
      </c>
      <c r="V521" s="11">
        <v>8.9968229509891273</v>
      </c>
      <c r="W521" s="11">
        <v>5.788780530073165</v>
      </c>
      <c r="X521" s="11">
        <v>5.7880374657421152</v>
      </c>
      <c r="Y521" s="11">
        <v>5.6989398306213754</v>
      </c>
      <c r="Z521" s="11">
        <v>5.0477535787955983</v>
      </c>
      <c r="AA521" s="11">
        <v>5.8735974996546529</v>
      </c>
      <c r="AB521" s="11">
        <v>5.1748644457022133</v>
      </c>
      <c r="AC521" s="11">
        <v>3.0269121662589504</v>
      </c>
      <c r="AD521" s="11">
        <v>1.2070390565301843</v>
      </c>
      <c r="AE521" s="11">
        <v>2.1771098693447093</v>
      </c>
      <c r="AF521" s="11">
        <v>1.8562420804411419</v>
      </c>
      <c r="AG521" s="11">
        <v>1.5713532087715958</v>
      </c>
      <c r="AH521" s="11">
        <v>1.2723218527699898</v>
      </c>
      <c r="AI521" s="11">
        <v>2.417082872274479</v>
      </c>
      <c r="AJ521" s="11">
        <v>0.82630102586222731</v>
      </c>
      <c r="AK521" s="6"/>
      <c r="AL521" t="s">
        <v>1077</v>
      </c>
      <c r="AM521">
        <v>2051</v>
      </c>
      <c r="AN521" s="6"/>
      <c r="AO521" s="20">
        <v>4.7061999999999999</v>
      </c>
      <c r="AP521" s="20">
        <v>7.7599</v>
      </c>
      <c r="AQ521" s="20">
        <v>3.8277000000000001</v>
      </c>
      <c r="AR521" s="20">
        <v>4.1970000000000001</v>
      </c>
      <c r="AS521" s="20">
        <v>4.5975000000000001</v>
      </c>
      <c r="AT521" s="20">
        <v>4.2290000000000001</v>
      </c>
      <c r="AU521" s="20">
        <v>3.6172</v>
      </c>
      <c r="AV521" s="20">
        <v>5.1338999999999997</v>
      </c>
      <c r="AW521" s="6"/>
      <c r="AX521" s="18">
        <v>4.559E-10</v>
      </c>
      <c r="AY521" s="18">
        <v>1.164E-16</v>
      </c>
      <c r="AZ521" s="18">
        <v>1.1909999999999999E-6</v>
      </c>
      <c r="BA521" s="18">
        <v>3.1020000000000001E-7</v>
      </c>
      <c r="BB521" s="18">
        <v>1.2019999999999999E-8</v>
      </c>
      <c r="BC521" s="18">
        <v>2.6220000000000001E-6</v>
      </c>
      <c r="BD521" s="18">
        <v>2.5500000000000001E-6</v>
      </c>
      <c r="BE521" s="18">
        <v>1.3290000000000001E-7</v>
      </c>
      <c r="BF521" s="13"/>
      <c r="BG521" t="s">
        <v>1191</v>
      </c>
      <c r="BH521" t="s">
        <v>1265</v>
      </c>
      <c r="BI521" t="s">
        <v>1113</v>
      </c>
      <c r="BJ521" t="s">
        <v>1114</v>
      </c>
      <c r="BK521" t="s">
        <v>1115</v>
      </c>
      <c r="BL521" t="s">
        <v>1116</v>
      </c>
      <c r="BM521" t="s">
        <v>1117</v>
      </c>
      <c r="BN521" s="13"/>
      <c r="BO521" t="s">
        <v>973</v>
      </c>
      <c r="BP521" t="s">
        <v>973</v>
      </c>
      <c r="BQ521" t="s">
        <v>973</v>
      </c>
      <c r="BR521" t="s">
        <v>973</v>
      </c>
    </row>
    <row r="522" spans="1:70" x14ac:dyDescent="0.25">
      <c r="A522" t="s">
        <v>395</v>
      </c>
      <c r="B522" t="s">
        <v>355</v>
      </c>
      <c r="C522" t="s">
        <v>176</v>
      </c>
      <c r="D522" s="6"/>
      <c r="E522" s="9" t="str">
        <f>HYPERLINK("http://plants.ensembl.org/Triticum_aestivum/Gene/Summary?g=TRIAE_CS42_3B_TGACv1_227313_AA0822750","TRIAE_CS42_3B_TGACv1_227313_AA0822750")</f>
        <v>TRIAE_CS42_3B_TGACv1_227313_AA0822750</v>
      </c>
      <c r="F522" s="9" t="str">
        <f>HYPERLINK("http://mar2016-plants.ensembl.org/Triticum_aestivum/Gene/Summary?db=core;g=TRAES3BF053500020CFD","TRAES3BF053500020CFD")</f>
        <v>TRAES3BF053500020CFD</v>
      </c>
      <c r="H522" s="8" t="str">
        <f>HYPERLINK("http://plants.ensembl.org/Brachypodium_distachyon/Gene/Summary?g=Bradi2g59290","Bradi2g59290")</f>
        <v>Bradi2g59290</v>
      </c>
      <c r="I522" s="8" t="str">
        <f>HYPERLINK("http://plants.ensembl.org/Arabidopsis_thaliana/Gene/Summary?g=AT5G50760","AT5G50760")</f>
        <v>AT5G50760</v>
      </c>
      <c r="J522" s="9" t="str">
        <f>HYPERLINK("http://plants.ensembl.org/Oryza_sativa/Gene/Summary?db=otherfeatures;g=LOC_Os01g70050","LOC_Os01g70050")</f>
        <v>LOC_Os01g70050</v>
      </c>
      <c r="L522" s="6"/>
      <c r="M522" s="1" t="s">
        <v>973</v>
      </c>
      <c r="N522" s="1" t="s">
        <v>973</v>
      </c>
      <c r="O522" s="1" t="s">
        <v>973</v>
      </c>
      <c r="P522" s="1">
        <v>1</v>
      </c>
      <c r="Q522" s="1" t="s">
        <v>973</v>
      </c>
      <c r="R522" s="1" t="s">
        <v>973</v>
      </c>
      <c r="S522" s="1"/>
      <c r="T522" s="6"/>
      <c r="U522" s="11">
        <v>6.5939298773414405</v>
      </c>
      <c r="V522" s="11">
        <v>7.2960960765362026</v>
      </c>
      <c r="W522" s="11">
        <v>5.092861419869549</v>
      </c>
      <c r="X522" s="11">
        <v>4.9734781116522173</v>
      </c>
      <c r="Y522" s="11">
        <v>5.2257916282195378</v>
      </c>
      <c r="Z522" s="11">
        <v>4.8665750354578057</v>
      </c>
      <c r="AA522" s="11">
        <v>5.2158532934492641</v>
      </c>
      <c r="AB522" s="11">
        <v>4.6301472140331006</v>
      </c>
      <c r="AC522" s="11">
        <v>3.1101404849193228</v>
      </c>
      <c r="AD522" s="11">
        <v>1.5542613943668317</v>
      </c>
      <c r="AE522" s="11">
        <v>2.4660005763952002</v>
      </c>
      <c r="AF522" s="11">
        <v>2.0646874446641132</v>
      </c>
      <c r="AG522" s="11">
        <v>2.1110647077207645</v>
      </c>
      <c r="AH522" s="11">
        <v>1.0654114670602164</v>
      </c>
      <c r="AI522" s="11">
        <v>1.8528511474667495</v>
      </c>
      <c r="AJ522" s="11">
        <v>1.0239886394061706</v>
      </c>
      <c r="AK522" s="6"/>
      <c r="AL522" t="s">
        <v>1077</v>
      </c>
      <c r="AM522">
        <v>854</v>
      </c>
      <c r="AN522" s="6"/>
      <c r="AO522" s="20">
        <v>3.6240000000000001</v>
      </c>
      <c r="AP522" s="20">
        <v>5.6433999999999997</v>
      </c>
      <c r="AQ522" s="20">
        <v>2.7892999999999999</v>
      </c>
      <c r="AR522" s="20">
        <v>3.1474000000000002</v>
      </c>
      <c r="AS522" s="20">
        <v>3.3109000000000002</v>
      </c>
      <c r="AT522" s="20">
        <v>4.3467000000000002</v>
      </c>
      <c r="AU522" s="20">
        <v>3.6737000000000002</v>
      </c>
      <c r="AV522" s="20">
        <v>4.2660999999999998</v>
      </c>
      <c r="AW522" s="6"/>
      <c r="AX522" s="18">
        <v>9.1589999999999999E-7</v>
      </c>
      <c r="AY522" s="18">
        <v>2.353E-10</v>
      </c>
      <c r="AZ522" s="18">
        <v>2.273E-4</v>
      </c>
      <c r="BA522" s="18">
        <v>7.1390000000000006E-5</v>
      </c>
      <c r="BB522" s="18">
        <v>9.8849999999999994E-6</v>
      </c>
      <c r="BC522" s="18">
        <v>2.627E-6</v>
      </c>
      <c r="BD522" s="18">
        <v>3.9829999999999998E-6</v>
      </c>
      <c r="BE522" s="18">
        <v>3.6729999999999998E-6</v>
      </c>
      <c r="BF522" s="13"/>
      <c r="BG522" t="s">
        <v>1125</v>
      </c>
      <c r="BH522" t="s">
        <v>1126</v>
      </c>
      <c r="BI522" t="s">
        <v>1113</v>
      </c>
      <c r="BJ522" t="s">
        <v>1114</v>
      </c>
      <c r="BK522" t="s">
        <v>1115</v>
      </c>
      <c r="BL522" t="s">
        <v>1116</v>
      </c>
      <c r="BM522" t="s">
        <v>1117</v>
      </c>
      <c r="BN522" s="13"/>
      <c r="BO522" t="s">
        <v>973</v>
      </c>
      <c r="BP522">
        <v>1</v>
      </c>
      <c r="BQ522" t="s">
        <v>973</v>
      </c>
      <c r="BR522" t="s">
        <v>973</v>
      </c>
    </row>
    <row r="523" spans="1:70" x14ac:dyDescent="0.25">
      <c r="A523" t="s">
        <v>457</v>
      </c>
      <c r="B523" t="s">
        <v>458</v>
      </c>
      <c r="C523" t="s">
        <v>176</v>
      </c>
      <c r="D523" s="6"/>
      <c r="E523" s="9" t="str">
        <f>HYPERLINK("http://plants.ensembl.org/Triticum_aestivum/Gene/Summary?g=TRIAE_CS42_4AS_TGACv1_306668_AA1011820","TRIAE_CS42_4AS_TGACv1_306668_AA1011820")</f>
        <v>TRIAE_CS42_4AS_TGACv1_306668_AA1011820</v>
      </c>
      <c r="H523" s="8" t="str">
        <f>HYPERLINK("http://plants.ensembl.org/Brachypodium_distachyon/Gene/Summary?g=Bradi1g73230","Bradi1g73230")</f>
        <v>Bradi1g73230</v>
      </c>
      <c r="I523" s="8" t="str">
        <f>HYPERLINK("http://plants.ensembl.org/Arabidopsis_thaliana/Gene/Summary?g=AT2G35290","AT2G35290")</f>
        <v>AT2G35290</v>
      </c>
      <c r="J523" s="9" t="str">
        <f>HYPERLINK("http://plants.ensembl.org/Oryza_sativa/Gene/Summary?db=otherfeatures;g=LOC_Os03g07400","LOC_Os03g07400")</f>
        <v>LOC_Os03g07400</v>
      </c>
      <c r="L523" s="6"/>
      <c r="M523" s="1" t="s">
        <v>973</v>
      </c>
      <c r="N523" s="1" t="s">
        <v>973</v>
      </c>
      <c r="O523" s="1" t="s">
        <v>973</v>
      </c>
      <c r="P523" s="1">
        <v>1</v>
      </c>
      <c r="Q523" s="1" t="s">
        <v>973</v>
      </c>
      <c r="R523" s="1" t="s">
        <v>973</v>
      </c>
      <c r="S523" s="1"/>
      <c r="T523" s="6"/>
      <c r="U523" s="11">
        <v>7.2152155476456112</v>
      </c>
      <c r="V523" s="11">
        <v>8.246892419809706</v>
      </c>
      <c r="W523" s="11">
        <v>5.0507846364402127</v>
      </c>
      <c r="X523" s="11">
        <v>5.7001021249980948</v>
      </c>
      <c r="Y523" s="11">
        <v>6.3731801120477174</v>
      </c>
      <c r="Z523" s="11">
        <v>6.0495160561310035</v>
      </c>
      <c r="AA523" s="11">
        <v>5.9209411287331948</v>
      </c>
      <c r="AB523" s="11">
        <v>5.3829162102731587</v>
      </c>
      <c r="AC523" s="11">
        <v>3.3585134808555295</v>
      </c>
      <c r="AD523" s="11">
        <v>1.3814495082398235</v>
      </c>
      <c r="AE523" s="11">
        <v>3.1274296813918898</v>
      </c>
      <c r="AF523" s="11">
        <v>3.6829964557908217</v>
      </c>
      <c r="AG523" s="11">
        <v>2.4364106196687247</v>
      </c>
      <c r="AH523" s="11">
        <v>2.1835288604177259</v>
      </c>
      <c r="AI523" s="11">
        <v>5.0327077173939454</v>
      </c>
      <c r="AJ523" s="11">
        <v>5.0704623195439913</v>
      </c>
      <c r="AK523" s="6"/>
      <c r="AL523" t="s">
        <v>1077</v>
      </c>
      <c r="AM523">
        <v>23</v>
      </c>
      <c r="AN523" s="6"/>
      <c r="AO523" s="20">
        <v>3.9660000000000002</v>
      </c>
      <c r="AP523" s="20">
        <v>6.8075000000000001</v>
      </c>
      <c r="AQ523" s="20">
        <v>1.9953000000000001</v>
      </c>
      <c r="AR523" s="20">
        <v>1.9890000000000001</v>
      </c>
      <c r="AS523" s="20">
        <v>4.0890000000000004</v>
      </c>
      <c r="AT523" s="20">
        <v>4.0781000000000001</v>
      </c>
      <c r="AU523" s="20">
        <v>0.89180000000000004</v>
      </c>
      <c r="AV523" s="20">
        <v>0.31540000000000001</v>
      </c>
      <c r="AW523" s="6"/>
      <c r="AX523" s="18">
        <v>2.8840000000000001E-10</v>
      </c>
      <c r="AY523" s="18">
        <v>1.1840000000000001E-16</v>
      </c>
      <c r="AZ523" s="18">
        <v>1.5989999999999999E-3</v>
      </c>
      <c r="BA523" s="18">
        <v>1.188E-3</v>
      </c>
      <c r="BB523" s="18">
        <v>1.0649999999999999E-10</v>
      </c>
      <c r="BC523" s="18">
        <v>3.6629999999999999E-9</v>
      </c>
      <c r="BD523" s="18">
        <v>0.12790000000000001</v>
      </c>
      <c r="BE523" s="18">
        <v>0.59430000000000005</v>
      </c>
      <c r="BF523" s="13"/>
      <c r="BG523" t="s">
        <v>1191</v>
      </c>
      <c r="BH523" t="s">
        <v>1211</v>
      </c>
      <c r="BI523" t="s">
        <v>1113</v>
      </c>
      <c r="BJ523" t="s">
        <v>1114</v>
      </c>
      <c r="BK523" t="s">
        <v>1115</v>
      </c>
      <c r="BL523" t="s">
        <v>1116</v>
      </c>
      <c r="BM523" t="s">
        <v>1117</v>
      </c>
      <c r="BN523" s="13"/>
      <c r="BO523" t="s">
        <v>973</v>
      </c>
      <c r="BP523" t="s">
        <v>973</v>
      </c>
      <c r="BQ523" t="s">
        <v>973</v>
      </c>
      <c r="BR523" t="s">
        <v>973</v>
      </c>
    </row>
    <row r="524" spans="1:70" x14ac:dyDescent="0.25">
      <c r="A524" t="s">
        <v>547</v>
      </c>
      <c r="B524" t="s">
        <v>458</v>
      </c>
      <c r="C524" t="s">
        <v>176</v>
      </c>
      <c r="D524" s="6"/>
      <c r="E524" s="9" t="str">
        <f>HYPERLINK("http://plants.ensembl.org/Triticum_aestivum/Gene/Summary?g=TRIAE_CS42_4BL_TGACv1_322299_AA1070420","TRIAE_CS42_4BL_TGACv1_322299_AA1070420")</f>
        <v>TRIAE_CS42_4BL_TGACv1_322299_AA1070420</v>
      </c>
      <c r="F524" s="9" t="str">
        <f>HYPERLINK("http://mar2016-plants.ensembl.org/Triticum_aestivum/Gene/Summary?db=core;g=Traes_4BL_5DA7BF0FC","Traes_4BL_5DA7BF0FC")</f>
        <v>Traes_4BL_5DA7BF0FC</v>
      </c>
      <c r="H524" s="8" t="str">
        <f>HYPERLINK("http://plants.ensembl.org/Brachypodium_distachyon/Gene/Summary?g=Bradi1g73230","Bradi1g73230")</f>
        <v>Bradi1g73230</v>
      </c>
      <c r="I524" s="8" t="str">
        <f>HYPERLINK("http://plants.ensembl.org/Arabidopsis_thaliana/Gene/Summary?g=AT2G35290","AT2G35290")</f>
        <v>AT2G35290</v>
      </c>
      <c r="J524" s="9" t="str">
        <f>HYPERLINK("http://plants.ensembl.org/Oryza_sativa/Gene/Summary?db=otherfeatures;g=LOC_Os03g07400","LOC_Os03g07400")</f>
        <v>LOC_Os03g07400</v>
      </c>
      <c r="L524" s="6"/>
      <c r="M524" s="1" t="s">
        <v>973</v>
      </c>
      <c r="N524" s="1" t="s">
        <v>973</v>
      </c>
      <c r="O524" s="1" t="s">
        <v>973</v>
      </c>
      <c r="P524" s="1">
        <v>1</v>
      </c>
      <c r="Q524" s="1" t="s">
        <v>973</v>
      </c>
      <c r="R524" s="1" t="s">
        <v>973</v>
      </c>
      <c r="S524" s="1"/>
      <c r="T524" s="6"/>
      <c r="U524" s="11">
        <v>5.9530339297894397</v>
      </c>
      <c r="V524" s="11">
        <v>7.7630275217766416</v>
      </c>
      <c r="W524" s="11">
        <v>4.1184400211164167</v>
      </c>
      <c r="X524" s="11">
        <v>4.6646478078891391</v>
      </c>
      <c r="Y524" s="11">
        <v>5.0836190248620765</v>
      </c>
      <c r="Z524" s="11">
        <v>4.6558116620753394</v>
      </c>
      <c r="AA524" s="11">
        <v>5.0613125025147623</v>
      </c>
      <c r="AB524" s="11">
        <v>4.7776564190751944</v>
      </c>
      <c r="AC524" s="11">
        <v>2.8006549013060145</v>
      </c>
      <c r="AD524" s="11">
        <v>3.4124970222094642</v>
      </c>
      <c r="AE524" s="11">
        <v>2.3757160067359266</v>
      </c>
      <c r="AF524" s="11">
        <v>3.2218873896864415</v>
      </c>
      <c r="AG524" s="11">
        <v>2.4666271200415015</v>
      </c>
      <c r="AH524" s="11">
        <v>1.0710303832411541</v>
      </c>
      <c r="AI524" s="11">
        <v>4.8665865743608894</v>
      </c>
      <c r="AJ524" s="11">
        <v>4.4361840535903463</v>
      </c>
      <c r="AK524" s="6"/>
      <c r="AL524" t="s">
        <v>1077</v>
      </c>
      <c r="AM524">
        <v>0</v>
      </c>
      <c r="AN524" s="6"/>
      <c r="AO524" s="20">
        <v>3.3024</v>
      </c>
      <c r="AP524" s="20">
        <v>5.3912000000000004</v>
      </c>
      <c r="AQ524" s="20">
        <v>1.8903000000000001</v>
      </c>
      <c r="AR524" s="20">
        <v>1.4508000000000001</v>
      </c>
      <c r="AS524" s="20">
        <v>2.7783000000000002</v>
      </c>
      <c r="AT524" s="20">
        <v>4.1235999999999997</v>
      </c>
      <c r="AU524" s="20">
        <v>0.1963</v>
      </c>
      <c r="AV524" s="20">
        <v>0.34789999999999999</v>
      </c>
      <c r="AW524" s="6"/>
      <c r="AX524" s="18">
        <v>7.9719999999999992E-6</v>
      </c>
      <c r="AY524" s="18">
        <v>4.1709999999999997E-11</v>
      </c>
      <c r="AZ524" s="18">
        <v>1.2120000000000001E-2</v>
      </c>
      <c r="BA524" s="18">
        <v>4.2450000000000002E-2</v>
      </c>
      <c r="BB524" s="18">
        <v>1.089E-4</v>
      </c>
      <c r="BC524" s="18">
        <v>5.8089999999999998E-6</v>
      </c>
      <c r="BD524" s="18">
        <v>0.77129999999999999</v>
      </c>
      <c r="BE524" s="18">
        <v>0.61260000000000003</v>
      </c>
      <c r="BF524" s="13"/>
      <c r="BG524" t="s">
        <v>1125</v>
      </c>
      <c r="BH524" t="s">
        <v>1126</v>
      </c>
      <c r="BI524" t="s">
        <v>1113</v>
      </c>
      <c r="BJ524" t="s">
        <v>1127</v>
      </c>
      <c r="BK524" t="s">
        <v>1115</v>
      </c>
      <c r="BL524" t="s">
        <v>1116</v>
      </c>
      <c r="BM524" t="s">
        <v>1117</v>
      </c>
      <c r="BN524" s="13"/>
      <c r="BO524" t="s">
        <v>973</v>
      </c>
      <c r="BP524">
        <v>1</v>
      </c>
      <c r="BQ524" t="s">
        <v>973</v>
      </c>
      <c r="BR524" t="s">
        <v>973</v>
      </c>
    </row>
    <row r="525" spans="1:70" x14ac:dyDescent="0.25">
      <c r="A525" t="s">
        <v>592</v>
      </c>
      <c r="B525" t="s">
        <v>458</v>
      </c>
      <c r="C525" t="s">
        <v>176</v>
      </c>
      <c r="D525" s="6"/>
      <c r="E525" s="9" t="str">
        <f>HYPERLINK("http://plants.ensembl.org/Triticum_aestivum/Gene/Summary?g=TRIAE_CS42_4DL_TGACv1_345362_AA1152920","TRIAE_CS42_4DL_TGACv1_345362_AA1152920")</f>
        <v>TRIAE_CS42_4DL_TGACv1_345362_AA1152920</v>
      </c>
      <c r="F525" s="9" t="str">
        <f>HYPERLINK("http://mar2016-plants.ensembl.org/Triticum_aestivum/Gene/Summary?db=core;g=Traes_4DL_2033A03F9","Traes_4DL_2033A03F9")</f>
        <v>Traes_4DL_2033A03F9</v>
      </c>
      <c r="H525" s="8" t="str">
        <f>HYPERLINK("http://plants.ensembl.org/Brachypodium_distachyon/Gene/Summary?g=Bradi1g73230","Bradi1g73230")</f>
        <v>Bradi1g73230</v>
      </c>
      <c r="I525" s="8" t="str">
        <f>HYPERLINK("http://plants.ensembl.org/Arabidopsis_thaliana/Gene/Summary?g=AT2G35290","AT2G35290")</f>
        <v>AT2G35290</v>
      </c>
      <c r="J525" s="9" t="str">
        <f>HYPERLINK("http://plants.ensembl.org/Oryza_sativa/Gene/Summary?db=otherfeatures;g=LOC_Os03g07400","LOC_Os03g07400")</f>
        <v>LOC_Os03g07400</v>
      </c>
      <c r="L525" s="6"/>
      <c r="M525" s="1" t="s">
        <v>973</v>
      </c>
      <c r="N525" s="1" t="s">
        <v>973</v>
      </c>
      <c r="O525" s="1" t="s">
        <v>973</v>
      </c>
      <c r="P525" s="1">
        <v>1</v>
      </c>
      <c r="Q525" s="1" t="s">
        <v>973</v>
      </c>
      <c r="R525" s="1" t="s">
        <v>973</v>
      </c>
      <c r="S525" s="1"/>
      <c r="T525" s="6"/>
      <c r="U525" s="11">
        <v>6.3969689051325735</v>
      </c>
      <c r="V525" s="11">
        <v>7.6636911604599751</v>
      </c>
      <c r="W525" s="11">
        <v>4.7384183777030211</v>
      </c>
      <c r="X525" s="11">
        <v>4.7875212719503839</v>
      </c>
      <c r="Y525" s="11">
        <v>5.722609922481638</v>
      </c>
      <c r="Z525" s="11">
        <v>5.347908919335544</v>
      </c>
      <c r="AA525" s="11">
        <v>5.0640277508370337</v>
      </c>
      <c r="AB525" s="11">
        <v>5.143949805913886</v>
      </c>
      <c r="AC525" s="11">
        <v>3.0647276776644055</v>
      </c>
      <c r="AD525" s="11">
        <v>0.98338584317410849</v>
      </c>
      <c r="AE525" s="11">
        <v>2.0530302187952998</v>
      </c>
      <c r="AF525" s="11">
        <v>3.5061787627017438</v>
      </c>
      <c r="AG525" s="11">
        <v>1.7972343816679808</v>
      </c>
      <c r="AH525" s="11">
        <v>1.6104008474609537</v>
      </c>
      <c r="AI525" s="11">
        <v>4.4613299176683352</v>
      </c>
      <c r="AJ525" s="11">
        <v>4.229293098855341</v>
      </c>
      <c r="AK525" s="6"/>
      <c r="AL525" t="s">
        <v>1077</v>
      </c>
      <c r="AM525">
        <v>11</v>
      </c>
      <c r="AN525" s="6"/>
      <c r="AO525" s="20">
        <v>3.4803999999999999</v>
      </c>
      <c r="AP525" s="20">
        <v>6.8158000000000003</v>
      </c>
      <c r="AQ525" s="20">
        <v>2.9369000000000001</v>
      </c>
      <c r="AR525" s="20">
        <v>1.2235</v>
      </c>
      <c r="AS525" s="20">
        <v>4.2663000000000002</v>
      </c>
      <c r="AT525" s="20">
        <v>4.0095000000000001</v>
      </c>
      <c r="AU525" s="20">
        <v>0.61950000000000005</v>
      </c>
      <c r="AV525" s="20">
        <v>0.93779999999999997</v>
      </c>
      <c r="AW525" s="6"/>
      <c r="AX525" s="18">
        <v>5.8960000000000003E-9</v>
      </c>
      <c r="AY525" s="18">
        <v>2.029E-15</v>
      </c>
      <c r="AZ525" s="18">
        <v>7.6790000000000005E-6</v>
      </c>
      <c r="BA525" s="18">
        <v>3.3090000000000001E-2</v>
      </c>
      <c r="BB525" s="18">
        <v>1.411E-11</v>
      </c>
      <c r="BC525" s="18">
        <v>1.5259999999999999E-8</v>
      </c>
      <c r="BD525" s="18">
        <v>0.254</v>
      </c>
      <c r="BE525" s="18">
        <v>8.9169999999999999E-2</v>
      </c>
      <c r="BF525" s="13"/>
      <c r="BG525" t="s">
        <v>1125</v>
      </c>
      <c r="BH525" t="s">
        <v>1126</v>
      </c>
      <c r="BI525" t="s">
        <v>1113</v>
      </c>
      <c r="BJ525" t="s">
        <v>1114</v>
      </c>
      <c r="BK525" t="s">
        <v>1115</v>
      </c>
      <c r="BL525" t="s">
        <v>1116</v>
      </c>
      <c r="BM525" t="s">
        <v>1117</v>
      </c>
      <c r="BN525" s="13"/>
      <c r="BO525" t="s">
        <v>973</v>
      </c>
      <c r="BP525">
        <v>1</v>
      </c>
      <c r="BQ525" t="s">
        <v>973</v>
      </c>
      <c r="BR525" t="s">
        <v>973</v>
      </c>
    </row>
    <row r="526" spans="1:70" x14ac:dyDescent="0.25">
      <c r="A526" t="s">
        <v>23</v>
      </c>
      <c r="B526" t="s">
        <v>24</v>
      </c>
      <c r="C526" t="s">
        <v>25</v>
      </c>
      <c r="D526" s="6"/>
      <c r="E526" s="9" t="str">
        <f>HYPERLINK("http://plants.ensembl.org/Triticum_aestivum/Gene/Summary?g=TRIAE_CS42_1AL_TGACv1_001992_AA0037540","TRIAE_CS42_1AL_TGACv1_001992_AA0037540")</f>
        <v>TRIAE_CS42_1AL_TGACv1_001992_AA0037540</v>
      </c>
      <c r="F526" s="9" t="str">
        <f>HYPERLINK("http://mar2016-plants.ensembl.org/Triticum_aestivum/Gene/Summary?db=core;g=Traes_1AL_13807565F","Traes_1AL_13807565F")</f>
        <v>Traes_1AL_13807565F</v>
      </c>
      <c r="H526" s="8" t="str">
        <f>HYPERLINK("http://plants.ensembl.org/Brachypodium_distachyon/Gene/Summary?g=Bradi3g30660","Bradi3g30660")</f>
        <v>Bradi3g30660</v>
      </c>
      <c r="I526" s="1" t="s">
        <v>1051</v>
      </c>
      <c r="J526" s="9" t="str">
        <f>HYPERLINK("http://plants.ensembl.org/Oryza_sativa/Gene/Summary?db=otherfeatures;g=LOC_Os10g36703","LOC_Os10g36703")</f>
        <v>LOC_Os10g36703</v>
      </c>
      <c r="L526" s="6"/>
      <c r="M526" s="1" t="s">
        <v>973</v>
      </c>
      <c r="N526" s="1" t="s">
        <v>973</v>
      </c>
      <c r="O526" s="1" t="s">
        <v>973</v>
      </c>
      <c r="P526" s="1">
        <v>1</v>
      </c>
      <c r="Q526" s="1" t="s">
        <v>973</v>
      </c>
      <c r="R526" s="1" t="s">
        <v>973</v>
      </c>
      <c r="S526" s="1"/>
      <c r="T526" s="6"/>
      <c r="U526" s="11">
        <v>7.8076807797592984</v>
      </c>
      <c r="V526" s="11">
        <v>8.7256467593949978</v>
      </c>
      <c r="W526" s="11">
        <v>6.6616489025055055</v>
      </c>
      <c r="X526" s="11">
        <v>7.1782691240343013</v>
      </c>
      <c r="Y526" s="11">
        <v>6.8814362234656912</v>
      </c>
      <c r="Z526" s="11">
        <v>6.3092271292006243</v>
      </c>
      <c r="AA526" s="11">
        <v>6.0146431783302363</v>
      </c>
      <c r="AB526" s="11">
        <v>6.3586365504499716</v>
      </c>
      <c r="AC526" s="11">
        <v>3.4154477073573992</v>
      </c>
      <c r="AD526" s="11">
        <v>4.5674359271628395</v>
      </c>
      <c r="AE526" s="11">
        <v>3.9796626000033428</v>
      </c>
      <c r="AF526" s="11">
        <v>3.8201415114383592</v>
      </c>
      <c r="AG526" s="11">
        <v>4.6755656767606402</v>
      </c>
      <c r="AH526" s="11">
        <v>3.7800335734942769</v>
      </c>
      <c r="AI526" s="11">
        <v>3.8246320956348763</v>
      </c>
      <c r="AJ526" s="11">
        <v>3.457926933956029</v>
      </c>
      <c r="AK526" s="6"/>
      <c r="AL526" t="s">
        <v>1077</v>
      </c>
      <c r="AM526">
        <v>1052</v>
      </c>
      <c r="AN526" s="6"/>
      <c r="AO526" s="20">
        <v>4.5507999999999997</v>
      </c>
      <c r="AP526" s="20">
        <v>4.5003000000000002</v>
      </c>
      <c r="AQ526" s="20">
        <v>2.7204000000000002</v>
      </c>
      <c r="AR526" s="20">
        <v>3.3458999999999999</v>
      </c>
      <c r="AS526" s="20">
        <v>2.2241</v>
      </c>
      <c r="AT526" s="20">
        <v>2.5823999999999998</v>
      </c>
      <c r="AU526" s="20">
        <v>2.2410000000000001</v>
      </c>
      <c r="AV526" s="20">
        <v>2.9661</v>
      </c>
      <c r="AW526" s="6"/>
      <c r="AX526" s="18">
        <v>7.1000000000000002E-15</v>
      </c>
      <c r="AY526" s="18">
        <v>4.4040000000000001E-14</v>
      </c>
      <c r="AZ526" s="18">
        <v>1.0440000000000001E-6</v>
      </c>
      <c r="BA526" s="18">
        <v>2.6559999999999999E-9</v>
      </c>
      <c r="BB526" s="18">
        <v>3.6319999999999998E-5</v>
      </c>
      <c r="BC526" s="18">
        <v>5.4099999999999999E-6</v>
      </c>
      <c r="BD526" s="18">
        <v>6.5190000000000004E-5</v>
      </c>
      <c r="BE526" s="18">
        <v>2.1360000000000001E-7</v>
      </c>
      <c r="BF526" s="13"/>
      <c r="BG526" t="s">
        <v>1260</v>
      </c>
      <c r="BH526" t="s">
        <v>1186</v>
      </c>
      <c r="BI526" t="s">
        <v>1113</v>
      </c>
      <c r="BJ526" t="s">
        <v>1114</v>
      </c>
      <c r="BK526" t="s">
        <v>1115</v>
      </c>
      <c r="BL526" t="s">
        <v>1116</v>
      </c>
      <c r="BM526" t="s">
        <v>1117</v>
      </c>
      <c r="BN526" s="13"/>
      <c r="BO526" t="s">
        <v>973</v>
      </c>
      <c r="BP526" t="s">
        <v>973</v>
      </c>
      <c r="BQ526" t="s">
        <v>973</v>
      </c>
      <c r="BR526" t="s">
        <v>973</v>
      </c>
    </row>
    <row r="527" spans="1:70" x14ac:dyDescent="0.25">
      <c r="A527" t="s">
        <v>506</v>
      </c>
      <c r="B527" t="s">
        <v>507</v>
      </c>
      <c r="C527" t="s">
        <v>25</v>
      </c>
      <c r="D527" s="6"/>
      <c r="E527" s="9" t="str">
        <f>HYPERLINK("http://plants.ensembl.org/Triticum_aestivum/Gene/Summary?g=TRIAE_CS42_4AL_TGACv1_289193_AA0967000","TRIAE_CS42_4AL_TGACv1_289193_AA0967000")</f>
        <v>TRIAE_CS42_4AL_TGACv1_289193_AA0967000</v>
      </c>
      <c r="F527" s="9" t="str">
        <f>HYPERLINK("http://mar2016-plants.ensembl.org/Triticum_aestivum/Gene/Summary?db=core;g=Traes_4AL_0682CD14B","Traes_4AL_0682CD14B")</f>
        <v>Traes_4AL_0682CD14B</v>
      </c>
      <c r="H527" s="8" t="str">
        <f>HYPERLINK("http://plants.ensembl.org/Brachypodium_distachyon/Gene/Summary?g=Bradi1g13127","Bradi1g13127")</f>
        <v>Bradi1g13127</v>
      </c>
      <c r="I527" s="1" t="s">
        <v>1051</v>
      </c>
      <c r="J527" s="9" t="str">
        <f>HYPERLINK("http://plants.ensembl.org/Oryza_sativa/Gene/Summary?db=otherfeatures;g=LOC_Os03g45860","LOC_Os03g45860")</f>
        <v>LOC_Os03g45860</v>
      </c>
      <c r="L527" s="6"/>
      <c r="M527" s="1" t="s">
        <v>973</v>
      </c>
      <c r="N527" s="1" t="s">
        <v>973</v>
      </c>
      <c r="O527" s="1" t="s">
        <v>973</v>
      </c>
      <c r="P527" s="1">
        <v>1</v>
      </c>
      <c r="Q527" s="1" t="s">
        <v>973</v>
      </c>
      <c r="R527" s="1" t="s">
        <v>973</v>
      </c>
      <c r="S527" s="1"/>
      <c r="T527" s="6"/>
      <c r="U527" s="11">
        <v>6.7443158539950847</v>
      </c>
      <c r="V527" s="11">
        <v>7.0190810158005945</v>
      </c>
      <c r="W527" s="11">
        <v>3.9037228092084133</v>
      </c>
      <c r="X527" s="11">
        <v>4.7054102931384074</v>
      </c>
      <c r="Y527" s="11">
        <v>5.1884945585288493</v>
      </c>
      <c r="Z527" s="11">
        <v>4.7574606838570457</v>
      </c>
      <c r="AA527" s="11">
        <v>4.2752082357753114</v>
      </c>
      <c r="AB527" s="11">
        <v>3.5461289341042521</v>
      </c>
      <c r="AC527" s="11">
        <v>0.87462649424568539</v>
      </c>
      <c r="AD527" s="11">
        <v>0.39407506562573752</v>
      </c>
      <c r="AE527" s="11">
        <v>0</v>
      </c>
      <c r="AF527" s="11">
        <v>0</v>
      </c>
      <c r="AG527" s="11">
        <v>0</v>
      </c>
      <c r="AH527" s="11">
        <v>0.32960202277278333</v>
      </c>
      <c r="AI527" s="11">
        <v>0</v>
      </c>
      <c r="AJ527" s="11">
        <v>0</v>
      </c>
      <c r="AK527" s="6"/>
      <c r="AL527" t="s">
        <v>1077</v>
      </c>
      <c r="AM527" s="12">
        <v>4208</v>
      </c>
      <c r="AN527" s="6"/>
      <c r="AO527" s="20">
        <v>6.9417999999999997</v>
      </c>
      <c r="AP527" s="20">
        <v>7.0831</v>
      </c>
      <c r="AQ527" s="20">
        <v>5.8498999999999999</v>
      </c>
      <c r="AR527" s="20">
        <v>6.5876999999999999</v>
      </c>
      <c r="AS527" s="20">
        <v>7.6651999999999996</v>
      </c>
      <c r="AT527" s="20">
        <v>5.77</v>
      </c>
      <c r="AU527" s="20">
        <v>6.2904999999999998</v>
      </c>
      <c r="AV527" s="20">
        <v>5.5250000000000004</v>
      </c>
      <c r="AW527" s="6"/>
      <c r="AX527" s="18">
        <v>5.8230000000000005E-10</v>
      </c>
      <c r="AY527" s="18">
        <v>1.2070000000000001E-9</v>
      </c>
      <c r="AZ527" s="18">
        <v>4.2220000000000004E-6</v>
      </c>
      <c r="BA527" s="18">
        <v>2.0069999999999999E-7</v>
      </c>
      <c r="BB527" s="18">
        <v>1.3709999999999999E-9</v>
      </c>
      <c r="BC527" s="18">
        <v>4.0450000000000002E-6</v>
      </c>
      <c r="BD527" s="18">
        <v>6.9159999999999997E-7</v>
      </c>
      <c r="BE527" s="18">
        <v>1.5860000000000001E-5</v>
      </c>
      <c r="BF527" s="13"/>
      <c r="BG527" t="s">
        <v>1191</v>
      </c>
      <c r="BH527" t="s">
        <v>1144</v>
      </c>
      <c r="BI527" t="s">
        <v>1113</v>
      </c>
      <c r="BJ527" t="s">
        <v>1114</v>
      </c>
      <c r="BK527" t="s">
        <v>1115</v>
      </c>
      <c r="BL527" t="s">
        <v>1116</v>
      </c>
      <c r="BM527" t="s">
        <v>1117</v>
      </c>
      <c r="BN527" s="13"/>
      <c r="BO527" t="s">
        <v>973</v>
      </c>
      <c r="BP527" t="s">
        <v>973</v>
      </c>
      <c r="BQ527" t="s">
        <v>973</v>
      </c>
      <c r="BR527" t="s">
        <v>973</v>
      </c>
    </row>
    <row r="528" spans="1:70" x14ac:dyDescent="0.25">
      <c r="A528" t="s">
        <v>555</v>
      </c>
      <c r="B528" t="s">
        <v>507</v>
      </c>
      <c r="C528" t="s">
        <v>25</v>
      </c>
      <c r="D528" s="6"/>
      <c r="E528" s="9" t="str">
        <f>HYPERLINK("http://plants.ensembl.org/Triticum_aestivum/Gene/Summary?g=TRIAE_CS42_4DS_TGACv1_361152_AA1162040","TRIAE_CS42_4DS_TGACv1_361152_AA1162040")</f>
        <v>TRIAE_CS42_4DS_TGACv1_361152_AA1162040</v>
      </c>
      <c r="F528" s="9" t="str">
        <f>HYPERLINK("http://mar2016-plants.ensembl.org/Triticum_aestivum/Gene/Summary?db=core;g=Traes_4DS_B603A02A4","Traes_4DS_B603A02A4")</f>
        <v>Traes_4DS_B603A02A4</v>
      </c>
      <c r="H528" s="8" t="str">
        <f>HYPERLINK("http://plants.ensembl.org/Brachypodium_distachyon/Gene/Summary?g=Bradi1g13127","Bradi1g13127")</f>
        <v>Bradi1g13127</v>
      </c>
      <c r="I528" s="1" t="s">
        <v>1051</v>
      </c>
      <c r="J528" s="9" t="str">
        <f>HYPERLINK("http://plants.ensembl.org/Oryza_sativa/Gene/Summary?db=otherfeatures;g=LOC_Os03g45860","LOC_Os03g45860")</f>
        <v>LOC_Os03g45860</v>
      </c>
      <c r="L528" s="6"/>
      <c r="M528" s="1" t="s">
        <v>973</v>
      </c>
      <c r="N528" s="1" t="s">
        <v>973</v>
      </c>
      <c r="O528" s="1" t="s">
        <v>973</v>
      </c>
      <c r="P528" s="1">
        <v>1</v>
      </c>
      <c r="Q528" s="1" t="s">
        <v>973</v>
      </c>
      <c r="R528" s="1" t="s">
        <v>973</v>
      </c>
      <c r="S528" s="1"/>
      <c r="T528" s="6"/>
      <c r="U528" s="11">
        <v>9.7326671793524966</v>
      </c>
      <c r="V528" s="11">
        <v>9.4743876389291799</v>
      </c>
      <c r="W528" s="11">
        <v>5.4587975678707021</v>
      </c>
      <c r="X528" s="11">
        <v>5.8249867352213194</v>
      </c>
      <c r="Y528" s="11">
        <v>6.7837805346450528</v>
      </c>
      <c r="Z528" s="11">
        <v>6.2171777130098729</v>
      </c>
      <c r="AA528" s="11">
        <v>5.7908979902039537</v>
      </c>
      <c r="AB528" s="11">
        <v>5.1840131039304458</v>
      </c>
      <c r="AC528" s="11">
        <v>2.1279963838096516</v>
      </c>
      <c r="AD528" s="11">
        <v>1.9182971764481784</v>
      </c>
      <c r="AE528" s="11">
        <v>0</v>
      </c>
      <c r="AF528" s="11">
        <v>0.35147756939305858</v>
      </c>
      <c r="AG528" s="11">
        <v>0.26767561635783277</v>
      </c>
      <c r="AH528" s="11">
        <v>0.73277570026078254</v>
      </c>
      <c r="AI528" s="11">
        <v>0.80256547730794425</v>
      </c>
      <c r="AJ528" s="11">
        <v>1.2049127861451505</v>
      </c>
      <c r="AK528" s="6"/>
      <c r="AL528" t="s">
        <v>1077</v>
      </c>
      <c r="AM528">
        <v>690</v>
      </c>
      <c r="AN528" s="6"/>
      <c r="AO528" s="20">
        <v>7.8731</v>
      </c>
      <c r="AP528" s="20">
        <v>9.3946000000000005</v>
      </c>
      <c r="AQ528" s="20">
        <v>7.3254000000000001</v>
      </c>
      <c r="AR528" s="20">
        <v>6.7930000000000001</v>
      </c>
      <c r="AS528" s="20">
        <v>8.3414000000000001</v>
      </c>
      <c r="AT528" s="20">
        <v>6.4541000000000004</v>
      </c>
      <c r="AU528" s="20">
        <v>5.8160999999999996</v>
      </c>
      <c r="AV528" s="20">
        <v>4.5677000000000003</v>
      </c>
      <c r="AW528" s="6"/>
      <c r="AX528" s="18">
        <v>5.4450000000000002E-25</v>
      </c>
      <c r="AY528" s="18">
        <v>1.9820000000000001E-19</v>
      </c>
      <c r="AZ528" s="18">
        <v>8.4620000000000004E-10</v>
      </c>
      <c r="BA528" s="18">
        <v>1.2880000000000001E-9</v>
      </c>
      <c r="BB528" s="18">
        <v>9.7090000000000006E-14</v>
      </c>
      <c r="BC528" s="18">
        <v>2.4660000000000001E-10</v>
      </c>
      <c r="BD528" s="18">
        <v>7.935E-10</v>
      </c>
      <c r="BE528" s="18">
        <v>1.195E-7</v>
      </c>
      <c r="BF528" s="13"/>
      <c r="BG528" t="s">
        <v>1143</v>
      </c>
      <c r="BH528" t="s">
        <v>1132</v>
      </c>
      <c r="BI528" t="s">
        <v>1113</v>
      </c>
      <c r="BJ528" t="s">
        <v>1114</v>
      </c>
      <c r="BK528" t="s">
        <v>1115</v>
      </c>
      <c r="BL528" t="s">
        <v>1116</v>
      </c>
      <c r="BM528" t="s">
        <v>1117</v>
      </c>
      <c r="BN528" s="13"/>
      <c r="BO528" t="s">
        <v>973</v>
      </c>
      <c r="BP528" t="s">
        <v>973</v>
      </c>
      <c r="BQ528" t="s">
        <v>973</v>
      </c>
      <c r="BR528" t="s">
        <v>973</v>
      </c>
    </row>
    <row r="529" spans="1:70" x14ac:dyDescent="0.25">
      <c r="A529" t="s">
        <v>556</v>
      </c>
      <c r="B529" t="s">
        <v>557</v>
      </c>
      <c r="C529" t="s">
        <v>25</v>
      </c>
      <c r="D529" s="6"/>
      <c r="E529" s="9" t="str">
        <f>HYPERLINK("http://plants.ensembl.org/Triticum_aestivum/Gene/Summary?g=TRIAE_CS42_4DS_TGACv1_361152_AA1162030","TRIAE_CS42_4DS_TGACv1_361152_AA1162030")</f>
        <v>TRIAE_CS42_4DS_TGACv1_361152_AA1162030</v>
      </c>
      <c r="F529" s="9" t="str">
        <f>HYPERLINK("http://mar2016-plants.ensembl.org/Triticum_aestivum/Gene/Summary?db=core;g=Traes_4DS_E8A969443","Traes_4DS_E8A969443")</f>
        <v>Traes_4DS_E8A969443</v>
      </c>
      <c r="H529" s="1" t="s">
        <v>1051</v>
      </c>
      <c r="I529" s="1" t="s">
        <v>1051</v>
      </c>
      <c r="J529" s="1" t="s">
        <v>1051</v>
      </c>
      <c r="L529" s="6"/>
      <c r="M529" s="1" t="s">
        <v>973</v>
      </c>
      <c r="N529" s="1" t="s">
        <v>973</v>
      </c>
      <c r="O529" s="1" t="s">
        <v>973</v>
      </c>
      <c r="P529" s="1">
        <v>1</v>
      </c>
      <c r="Q529" s="1" t="s">
        <v>973</v>
      </c>
      <c r="R529" s="1" t="s">
        <v>973</v>
      </c>
      <c r="S529" s="1"/>
      <c r="T529" s="6"/>
      <c r="U529" s="11">
        <v>8.7278596604724097</v>
      </c>
      <c r="V529" s="11">
        <v>9.1134612385096077</v>
      </c>
      <c r="W529" s="11">
        <v>5.1732673777086129</v>
      </c>
      <c r="X529" s="11">
        <v>5.8423168163420991</v>
      </c>
      <c r="Y529" s="11">
        <v>6.1800516942007251</v>
      </c>
      <c r="Z529" s="11">
        <v>5.1597583380562986</v>
      </c>
      <c r="AA529" s="11">
        <v>5.0751503718791362</v>
      </c>
      <c r="AB529" s="11">
        <v>4.1178584723670042</v>
      </c>
      <c r="AC529" s="11">
        <v>1.1701387182104817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0.32799388035946819</v>
      </c>
      <c r="AJ529" s="11">
        <v>0</v>
      </c>
      <c r="AK529" s="6"/>
      <c r="AL529" t="s">
        <v>1077</v>
      </c>
      <c r="AM529" s="12">
        <v>4954</v>
      </c>
      <c r="AN529" s="6"/>
      <c r="AO529" s="20">
        <v>8.3247999999999998</v>
      </c>
      <c r="AP529" s="20">
        <v>9.8095999999999997</v>
      </c>
      <c r="AQ529" s="20">
        <v>7.0744999999999996</v>
      </c>
      <c r="AR529" s="20">
        <v>7.6516000000000002</v>
      </c>
      <c r="AS529" s="20">
        <v>8.5791000000000004</v>
      </c>
      <c r="AT529" s="20">
        <v>6.9267000000000003</v>
      </c>
      <c r="AU529" s="20">
        <v>6.2016999999999998</v>
      </c>
      <c r="AV529" s="20">
        <v>6.0557999999999996</v>
      </c>
      <c r="AW529" s="6"/>
      <c r="AX529" s="18">
        <v>6.1249999999999999E-16</v>
      </c>
      <c r="AY529" s="18">
        <v>2.6780000000000001E-15</v>
      </c>
      <c r="AZ529" s="18">
        <v>2.1060000000000001E-8</v>
      </c>
      <c r="BA529" s="18">
        <v>1.304E-9</v>
      </c>
      <c r="BB529" s="18">
        <v>1.005E-11</v>
      </c>
      <c r="BC529" s="18">
        <v>4.1420000000000003E-8</v>
      </c>
      <c r="BD529" s="18">
        <v>5.1650000000000005E-7</v>
      </c>
      <c r="BE529" s="18">
        <v>1.905E-6</v>
      </c>
      <c r="BF529" s="13"/>
      <c r="BG529" t="s">
        <v>1191</v>
      </c>
      <c r="BH529" t="s">
        <v>1132</v>
      </c>
      <c r="BI529" t="s">
        <v>1113</v>
      </c>
      <c r="BJ529" t="s">
        <v>1114</v>
      </c>
      <c r="BK529" t="s">
        <v>1115</v>
      </c>
      <c r="BL529" t="s">
        <v>1116</v>
      </c>
      <c r="BM529" t="s">
        <v>1117</v>
      </c>
      <c r="BN529" s="13"/>
      <c r="BO529" t="s">
        <v>973</v>
      </c>
      <c r="BP529" t="s">
        <v>973</v>
      </c>
      <c r="BQ529">
        <v>1</v>
      </c>
      <c r="BR529" t="s">
        <v>973</v>
      </c>
    </row>
    <row r="530" spans="1:70" x14ac:dyDescent="0.25">
      <c r="A530" t="s">
        <v>880</v>
      </c>
      <c r="B530" t="s">
        <v>881</v>
      </c>
      <c r="C530" t="s">
        <v>25</v>
      </c>
      <c r="D530" s="6"/>
      <c r="E530" s="9" t="str">
        <f>HYPERLINK("http://plants.ensembl.org/Triticum_aestivum/Gene/Summary?g=TRIAE_CS42_7DS_TGACv1_621747_AA2025130","TRIAE_CS42_7DS_TGACv1_621747_AA2025130")</f>
        <v>TRIAE_CS42_7DS_TGACv1_621747_AA2025130</v>
      </c>
      <c r="F530" s="9" t="str">
        <f>HYPERLINK("http://mar2016-plants.ensembl.org/Triticum_aestivum/Gene/Summary?db=core;g=Traes_7AL_AEC178775","Traes_7AL_AEC178775")</f>
        <v>Traes_7AL_AEC178775</v>
      </c>
      <c r="H530" s="1" t="s">
        <v>1051</v>
      </c>
      <c r="I530" s="1" t="s">
        <v>1051</v>
      </c>
      <c r="J530" s="1" t="s">
        <v>1051</v>
      </c>
      <c r="L530" s="6"/>
      <c r="M530" s="1" t="s">
        <v>973</v>
      </c>
      <c r="N530" s="1" t="s">
        <v>973</v>
      </c>
      <c r="O530" s="1" t="s">
        <v>973</v>
      </c>
      <c r="P530" s="1">
        <v>1</v>
      </c>
      <c r="Q530" s="1" t="s">
        <v>973</v>
      </c>
      <c r="R530" s="1" t="s">
        <v>973</v>
      </c>
      <c r="S530" s="1"/>
      <c r="T530" s="6"/>
      <c r="U530" s="11">
        <v>7.5140951633463633</v>
      </c>
      <c r="V530" s="11">
        <v>8.3160094873630097</v>
      </c>
      <c r="W530" s="11">
        <v>6.7403960283774049</v>
      </c>
      <c r="X530" s="11">
        <v>6.5229512950211568</v>
      </c>
      <c r="Y530" s="11">
        <v>7.1431593726735576</v>
      </c>
      <c r="Z530" s="11">
        <v>6.4352246406715334</v>
      </c>
      <c r="AA530" s="11">
        <v>6.0355425359167851</v>
      </c>
      <c r="AB530" s="11">
        <v>5.9649453540721922</v>
      </c>
      <c r="AC530" s="11">
        <v>1.3589588258323295</v>
      </c>
      <c r="AD530" s="11">
        <v>0</v>
      </c>
      <c r="AE530" s="11">
        <v>0.93947735037630908</v>
      </c>
      <c r="AF530" s="11">
        <v>0.8978857823473092</v>
      </c>
      <c r="AG530" s="11">
        <v>0.2964280392343483</v>
      </c>
      <c r="AH530" s="11">
        <v>0.65940704332144373</v>
      </c>
      <c r="AI530" s="11">
        <v>0</v>
      </c>
      <c r="AJ530" s="11">
        <v>0</v>
      </c>
      <c r="AK530" s="6"/>
      <c r="AL530" t="s">
        <v>1077</v>
      </c>
      <c r="AM530">
        <v>1534</v>
      </c>
      <c r="AN530" s="6"/>
      <c r="AO530" s="20">
        <v>6.9968000000000004</v>
      </c>
      <c r="AP530" s="20">
        <v>9.1331000000000007</v>
      </c>
      <c r="AQ530" s="20">
        <v>6.7464000000000004</v>
      </c>
      <c r="AR530" s="20">
        <v>6.2201000000000004</v>
      </c>
      <c r="AS530" s="20">
        <v>8.8087</v>
      </c>
      <c r="AT530" s="20">
        <v>6.7733999999999996</v>
      </c>
      <c r="AU530" s="20">
        <v>8.0422999999999991</v>
      </c>
      <c r="AV530" s="20">
        <v>7.9729999999999999</v>
      </c>
      <c r="AW530" s="6"/>
      <c r="AX530" s="18">
        <v>1.184E-18</v>
      </c>
      <c r="AY530" s="18">
        <v>1.2770000000000001E-16</v>
      </c>
      <c r="AZ530" s="18">
        <v>2.94E-15</v>
      </c>
      <c r="BA530" s="18">
        <v>1.8980000000000002E-14</v>
      </c>
      <c r="BB530" s="18">
        <v>1.0440000000000001E-16</v>
      </c>
      <c r="BC530" s="18">
        <v>1.2499999999999999E-12</v>
      </c>
      <c r="BD530" s="18">
        <v>1.086E-12</v>
      </c>
      <c r="BE530" s="18">
        <v>1.817E-12</v>
      </c>
      <c r="BF530" s="13"/>
      <c r="BG530" t="s">
        <v>1361</v>
      </c>
      <c r="BH530" t="s">
        <v>1186</v>
      </c>
      <c r="BI530" t="s">
        <v>1113</v>
      </c>
      <c r="BJ530" t="s">
        <v>1114</v>
      </c>
      <c r="BK530" t="s">
        <v>1115</v>
      </c>
      <c r="BL530" t="s">
        <v>1116</v>
      </c>
      <c r="BM530" t="s">
        <v>1117</v>
      </c>
      <c r="BN530" s="13"/>
      <c r="BO530" t="s">
        <v>973</v>
      </c>
      <c r="BP530" t="s">
        <v>973</v>
      </c>
      <c r="BQ530" t="s">
        <v>973</v>
      </c>
      <c r="BR530" t="s">
        <v>973</v>
      </c>
    </row>
    <row r="531" spans="1:70" x14ac:dyDescent="0.25">
      <c r="A531" t="s">
        <v>882</v>
      </c>
      <c r="B531" t="s">
        <v>507</v>
      </c>
      <c r="C531" t="s">
        <v>25</v>
      </c>
      <c r="D531" s="6"/>
      <c r="E531" s="9" t="str">
        <f>HYPERLINK("http://plants.ensembl.org/Triticum_aestivum/Gene/Summary?g=TRIAE_CS42_7AL_TGACv1_558555_AA1794270","TRIAE_CS42_7AL_TGACv1_558555_AA1794270")</f>
        <v>TRIAE_CS42_7AL_TGACv1_558555_AA1794270</v>
      </c>
      <c r="H531" s="8" t="str">
        <f>HYPERLINK("http://plants.ensembl.org/Brachypodium_distachyon/Gene/Summary?g=Bradi1g32400","Bradi1g32400")</f>
        <v>Bradi1g32400</v>
      </c>
      <c r="I531" s="1" t="s">
        <v>1051</v>
      </c>
      <c r="J531" s="9" t="str">
        <f>HYPERLINK("http://plants.ensembl.org/Oryza_sativa/Gene/Summary?db=otherfeatures;g=LOC_Os06g45970","LOC_Os06g45970")</f>
        <v>LOC_Os06g45970</v>
      </c>
      <c r="L531" s="6"/>
      <c r="M531" s="1" t="s">
        <v>973</v>
      </c>
      <c r="N531" s="1" t="s">
        <v>973</v>
      </c>
      <c r="O531" s="1" t="s">
        <v>973</v>
      </c>
      <c r="P531" s="1">
        <v>1</v>
      </c>
      <c r="Q531" s="1" t="s">
        <v>973</v>
      </c>
      <c r="R531" s="1" t="s">
        <v>973</v>
      </c>
      <c r="S531" s="1"/>
      <c r="T531" s="6"/>
      <c r="U531" s="11">
        <v>5.6795335837936012</v>
      </c>
      <c r="V531" s="11">
        <v>7.3506987859900299</v>
      </c>
      <c r="W531" s="11">
        <v>4.4313978692491371</v>
      </c>
      <c r="X531" s="11">
        <v>4.6193993152992938</v>
      </c>
      <c r="Y531" s="11">
        <v>5.1567188515396518</v>
      </c>
      <c r="Z531" s="11">
        <v>4.5761048690425001</v>
      </c>
      <c r="AA531" s="11">
        <v>4.394196282340868</v>
      </c>
      <c r="AB531" s="11">
        <v>3.7820590325111536</v>
      </c>
      <c r="AC531" s="11">
        <v>0</v>
      </c>
      <c r="AD531" s="11">
        <v>0</v>
      </c>
      <c r="AE531" s="11">
        <v>0.35245722601779272</v>
      </c>
      <c r="AF531" s="11">
        <v>0</v>
      </c>
      <c r="AG531" s="11">
        <v>0</v>
      </c>
      <c r="AH531" s="11">
        <v>0</v>
      </c>
      <c r="AI531" s="11">
        <v>0.3029136531679405</v>
      </c>
      <c r="AJ531" s="11">
        <v>0</v>
      </c>
      <c r="AK531" s="6"/>
      <c r="AL531" t="s">
        <v>1077</v>
      </c>
      <c r="AM531" s="12">
        <v>5257</v>
      </c>
      <c r="AN531" s="6"/>
      <c r="AO531" s="20">
        <v>7.6300999999999997</v>
      </c>
      <c r="AP531" s="20">
        <v>8.3046000000000006</v>
      </c>
      <c r="AQ531" s="20">
        <v>5.6696</v>
      </c>
      <c r="AR531" s="20">
        <v>6.6195000000000004</v>
      </c>
      <c r="AS531" s="20">
        <v>7.7674000000000003</v>
      </c>
      <c r="AT531" s="20">
        <v>6.5179999999999998</v>
      </c>
      <c r="AU531" s="20">
        <v>5.6925999999999997</v>
      </c>
      <c r="AV531" s="20">
        <v>5.8723000000000001</v>
      </c>
      <c r="AW531" s="6"/>
      <c r="AX531" s="18">
        <v>5.4330000000000001E-11</v>
      </c>
      <c r="AY531" s="18">
        <v>7.3699999999999999E-13</v>
      </c>
      <c r="AZ531" s="18">
        <v>7.4649999999999997E-7</v>
      </c>
      <c r="BA531" s="18">
        <v>1.186E-8</v>
      </c>
      <c r="BB531" s="18">
        <v>1.9929999999999999E-11</v>
      </c>
      <c r="BC531" s="18">
        <v>1.9379999999999999E-8</v>
      </c>
      <c r="BD531" s="18">
        <v>7.6290000000000004E-7</v>
      </c>
      <c r="BE531" s="18">
        <v>5.3659999999999997E-7</v>
      </c>
      <c r="BF531" s="13"/>
      <c r="BG531" t="s">
        <v>1125</v>
      </c>
      <c r="BH531" t="s">
        <v>1126</v>
      </c>
      <c r="BI531" t="s">
        <v>1113</v>
      </c>
      <c r="BJ531" t="s">
        <v>1127</v>
      </c>
      <c r="BK531" t="s">
        <v>1115</v>
      </c>
      <c r="BL531" t="s">
        <v>1116</v>
      </c>
      <c r="BM531" t="s">
        <v>1117</v>
      </c>
      <c r="BN531" s="13"/>
      <c r="BO531" t="s">
        <v>973</v>
      </c>
      <c r="BP531">
        <v>1</v>
      </c>
      <c r="BQ531" t="s">
        <v>973</v>
      </c>
      <c r="BR531" t="s">
        <v>973</v>
      </c>
    </row>
    <row r="532" spans="1:70" x14ac:dyDescent="0.25">
      <c r="A532" t="s">
        <v>924</v>
      </c>
      <c r="B532" t="s">
        <v>507</v>
      </c>
      <c r="C532" t="s">
        <v>25</v>
      </c>
      <c r="D532" s="6"/>
      <c r="E532" s="9" t="str">
        <f>HYPERLINK("http://plants.ensembl.org/Triticum_aestivum/Gene/Summary?g=TRIAE_CS42_7BL_TGACv1_579518_AA1908110","TRIAE_CS42_7BL_TGACv1_579518_AA1908110")</f>
        <v>TRIAE_CS42_7BL_TGACv1_579518_AA1908110</v>
      </c>
      <c r="H532" s="1" t="s">
        <v>1051</v>
      </c>
      <c r="I532" s="1" t="s">
        <v>1051</v>
      </c>
      <c r="J532" s="1" t="s">
        <v>1051</v>
      </c>
      <c r="L532" s="6"/>
      <c r="M532" s="1" t="s">
        <v>973</v>
      </c>
      <c r="N532" s="1" t="s">
        <v>973</v>
      </c>
      <c r="O532" s="1" t="s">
        <v>973</v>
      </c>
      <c r="P532" s="1">
        <v>1</v>
      </c>
      <c r="Q532" s="1" t="s">
        <v>973</v>
      </c>
      <c r="R532" s="1" t="s">
        <v>973</v>
      </c>
      <c r="S532" s="1"/>
      <c r="T532" s="6"/>
      <c r="U532" s="11">
        <v>6.4293872125149223</v>
      </c>
      <c r="V532" s="11">
        <v>6.8726338430280212</v>
      </c>
      <c r="W532" s="11">
        <v>3.4264660469435553</v>
      </c>
      <c r="X532" s="11">
        <v>3.0173459024125049</v>
      </c>
      <c r="Y532" s="11">
        <v>4.6426630686495507</v>
      </c>
      <c r="Z532" s="11">
        <v>3.8708217061402017</v>
      </c>
      <c r="AA532" s="11">
        <v>3.7301725665670973</v>
      </c>
      <c r="AB532" s="11">
        <v>3.3375588709713835</v>
      </c>
      <c r="AC532" s="11">
        <v>0.87462649424568539</v>
      </c>
      <c r="AD532" s="11">
        <v>0</v>
      </c>
      <c r="AE532" s="11">
        <v>0.93947735037630908</v>
      </c>
      <c r="AF532" s="11">
        <v>0.25801633106716926</v>
      </c>
      <c r="AG532" s="11">
        <v>0.16602981449478316</v>
      </c>
      <c r="AH532" s="11">
        <v>0.32960202277278333</v>
      </c>
      <c r="AI532" s="11">
        <v>0.36930826942372325</v>
      </c>
      <c r="AJ532" s="11">
        <v>0</v>
      </c>
      <c r="AK532" s="6"/>
      <c r="AL532" t="s">
        <v>1077</v>
      </c>
      <c r="AM532">
        <v>1142</v>
      </c>
      <c r="AN532" s="6"/>
      <c r="AO532" s="20">
        <v>6.6928999999999998</v>
      </c>
      <c r="AP532" s="20">
        <v>7.7207999999999997</v>
      </c>
      <c r="AQ532" s="20">
        <v>3.3281999999999998</v>
      </c>
      <c r="AR532" s="20">
        <v>4.0656999999999996</v>
      </c>
      <c r="AS532" s="20">
        <v>6.3731999999999998</v>
      </c>
      <c r="AT532" s="20">
        <v>4.8876999999999997</v>
      </c>
      <c r="AU532" s="20">
        <v>4.9093999999999998</v>
      </c>
      <c r="AV532" s="20">
        <v>5.3280000000000003</v>
      </c>
      <c r="AW532" s="6"/>
      <c r="AX532" s="18">
        <v>1.221E-9</v>
      </c>
      <c r="AY532" s="18">
        <v>5.7629999999999996E-10</v>
      </c>
      <c r="AZ532" s="18">
        <v>1.407E-3</v>
      </c>
      <c r="BA532" s="18">
        <v>9.655E-4</v>
      </c>
      <c r="BB532" s="18">
        <v>1.261E-7</v>
      </c>
      <c r="BC532" s="18">
        <v>8.0350000000000001E-5</v>
      </c>
      <c r="BD532" s="18">
        <v>7.3969999999999998E-5</v>
      </c>
      <c r="BE532" s="18">
        <v>2.4980000000000001E-5</v>
      </c>
      <c r="BF532" s="13"/>
      <c r="BG532" t="s">
        <v>1125</v>
      </c>
      <c r="BH532" t="s">
        <v>1126</v>
      </c>
      <c r="BI532" t="s">
        <v>1113</v>
      </c>
      <c r="BJ532" t="s">
        <v>1114</v>
      </c>
      <c r="BK532" t="s">
        <v>1115</v>
      </c>
      <c r="BL532" t="s">
        <v>1116</v>
      </c>
      <c r="BM532" t="s">
        <v>1117</v>
      </c>
      <c r="BN532" s="13"/>
      <c r="BO532" t="s">
        <v>973</v>
      </c>
      <c r="BP532">
        <v>1</v>
      </c>
      <c r="BQ532" t="s">
        <v>973</v>
      </c>
      <c r="BR532" t="s">
        <v>973</v>
      </c>
    </row>
    <row r="533" spans="1:70" x14ac:dyDescent="0.25">
      <c r="A533" t="s">
        <v>925</v>
      </c>
      <c r="B533" t="s">
        <v>507</v>
      </c>
      <c r="C533" t="s">
        <v>25</v>
      </c>
      <c r="D533" s="6"/>
      <c r="E533" s="9" t="str">
        <f>HYPERLINK("http://plants.ensembl.org/Triticum_aestivum/Gene/Summary?g=TRIAE_CS42_7BL_TGACv1_577174_AA1868040","TRIAE_CS42_7BL_TGACv1_577174_AA1868040")</f>
        <v>TRIAE_CS42_7BL_TGACv1_577174_AA1868040</v>
      </c>
      <c r="H533" s="1" t="s">
        <v>1051</v>
      </c>
      <c r="I533" s="1" t="s">
        <v>1051</v>
      </c>
      <c r="J533" s="1" t="s">
        <v>1051</v>
      </c>
      <c r="L533" s="6"/>
      <c r="M533" s="1" t="s">
        <v>973</v>
      </c>
      <c r="N533" s="1" t="s">
        <v>973</v>
      </c>
      <c r="O533" s="1" t="s">
        <v>973</v>
      </c>
      <c r="P533" s="1">
        <v>1</v>
      </c>
      <c r="Q533" s="1" t="s">
        <v>973</v>
      </c>
      <c r="R533" s="1" t="s">
        <v>973</v>
      </c>
      <c r="S533" s="1"/>
      <c r="T533" s="6"/>
      <c r="U533" s="11">
        <v>7.6878233248029471</v>
      </c>
      <c r="V533" s="11">
        <v>8.5915481521618009</v>
      </c>
      <c r="W533" s="11">
        <v>6.334981160862009</v>
      </c>
      <c r="X533" s="11">
        <v>6.2207401049262607</v>
      </c>
      <c r="Y533" s="11">
        <v>6.8412959631458277</v>
      </c>
      <c r="Z533" s="11">
        <v>6.0988111385120929</v>
      </c>
      <c r="AA533" s="11">
        <v>6.2178879235199718</v>
      </c>
      <c r="AB533" s="11">
        <v>5.6883724812855458</v>
      </c>
      <c r="AC533" s="11">
        <v>2.0461184934012171</v>
      </c>
      <c r="AD533" s="11">
        <v>0</v>
      </c>
      <c r="AE533" s="11">
        <v>1.7194901312002937</v>
      </c>
      <c r="AF533" s="11">
        <v>0</v>
      </c>
      <c r="AG533" s="11">
        <v>0</v>
      </c>
      <c r="AH533" s="11">
        <v>0</v>
      </c>
      <c r="AI533" s="11">
        <v>1.0409391757799409</v>
      </c>
      <c r="AJ533" s="11">
        <v>0.82684335164896428</v>
      </c>
      <c r="AK533" s="6"/>
      <c r="AL533" t="s">
        <v>1077</v>
      </c>
      <c r="AM533">
        <v>2675</v>
      </c>
      <c r="AN533" s="6"/>
      <c r="AO533" s="20">
        <v>6.0895999999999999</v>
      </c>
      <c r="AP533" s="20">
        <v>9.3114000000000008</v>
      </c>
      <c r="AQ533" s="20">
        <v>5.0294999999999996</v>
      </c>
      <c r="AR533" s="20">
        <v>8.0176999999999996</v>
      </c>
      <c r="AS533" s="20">
        <v>9.2344000000000008</v>
      </c>
      <c r="AT533" s="20">
        <v>7.8402000000000003</v>
      </c>
      <c r="AU533" s="20">
        <v>5.8868999999999998</v>
      </c>
      <c r="AV533" s="20">
        <v>5.7119</v>
      </c>
      <c r="AW533" s="6"/>
      <c r="AX533" s="18">
        <v>3.5119999999999999E-15</v>
      </c>
      <c r="AY533" s="18">
        <v>7.6659999999999997E-16</v>
      </c>
      <c r="AZ533" s="18">
        <v>1.2020000000000001E-10</v>
      </c>
      <c r="BA533" s="18">
        <v>1.4459999999999999E-11</v>
      </c>
      <c r="BB533" s="18">
        <v>6.9960000000000001E-15</v>
      </c>
      <c r="BC533" s="18">
        <v>4.005E-11</v>
      </c>
      <c r="BD533" s="18">
        <v>2.9E-11</v>
      </c>
      <c r="BE533" s="18">
        <v>1.275E-9</v>
      </c>
      <c r="BF533" s="13"/>
      <c r="BG533" t="s">
        <v>1143</v>
      </c>
      <c r="BH533" t="s">
        <v>1126</v>
      </c>
      <c r="BI533" t="s">
        <v>1113</v>
      </c>
      <c r="BJ533" t="s">
        <v>1114</v>
      </c>
      <c r="BK533" t="s">
        <v>1115</v>
      </c>
      <c r="BL533" t="s">
        <v>1116</v>
      </c>
      <c r="BM533" t="s">
        <v>1117</v>
      </c>
      <c r="BN533" s="13"/>
      <c r="BO533" t="s">
        <v>973</v>
      </c>
      <c r="BP533" t="s">
        <v>973</v>
      </c>
      <c r="BQ533" t="s">
        <v>973</v>
      </c>
      <c r="BR533" t="s">
        <v>973</v>
      </c>
    </row>
    <row r="534" spans="1:70" x14ac:dyDescent="0.25">
      <c r="A534" t="s">
        <v>956</v>
      </c>
      <c r="B534" t="s">
        <v>507</v>
      </c>
      <c r="C534" t="s">
        <v>25</v>
      </c>
      <c r="D534" s="6"/>
      <c r="E534" s="9" t="str">
        <f>HYPERLINK("http://plants.ensembl.org/Triticum_aestivum/Gene/Summary?g=TRIAE_CS42_7DL_TGACv1_602703_AA1965850","TRIAE_CS42_7DL_TGACv1_602703_AA1965850")</f>
        <v>TRIAE_CS42_7DL_TGACv1_602703_AA1965850</v>
      </c>
      <c r="F534" s="9" t="str">
        <f>HYPERLINK("http://mar2016-plants.ensembl.org/Triticum_aestivum/Gene/Summary?db=core;g=Traes_7DL_5120D3FE2","Traes_7DL_5120D3FE2")</f>
        <v>Traes_7DL_5120D3FE2</v>
      </c>
      <c r="H534" s="1" t="s">
        <v>1051</v>
      </c>
      <c r="I534" s="1" t="s">
        <v>1051</v>
      </c>
      <c r="J534" s="1" t="s">
        <v>1051</v>
      </c>
      <c r="L534" s="6"/>
      <c r="M534" s="1" t="s">
        <v>973</v>
      </c>
      <c r="N534" s="1" t="s">
        <v>973</v>
      </c>
      <c r="O534" s="1" t="s">
        <v>973</v>
      </c>
      <c r="P534" s="1">
        <v>1</v>
      </c>
      <c r="Q534" s="1" t="s">
        <v>973</v>
      </c>
      <c r="R534" s="1" t="s">
        <v>973</v>
      </c>
      <c r="S534" s="1"/>
      <c r="T534" s="6"/>
      <c r="U534" s="11">
        <v>7.1863140152369747</v>
      </c>
      <c r="V534" s="11">
        <v>7.5355568885630122</v>
      </c>
      <c r="W534" s="11">
        <v>4.8913721980348397</v>
      </c>
      <c r="X534" s="11">
        <v>5.5325112591066246</v>
      </c>
      <c r="Y534" s="11">
        <v>5.6318861609873014</v>
      </c>
      <c r="Z534" s="11">
        <v>5.4510154416362759</v>
      </c>
      <c r="AA534" s="11">
        <v>5.1231046896887893</v>
      </c>
      <c r="AB534" s="11">
        <v>5.0960608086966053</v>
      </c>
      <c r="AC534" s="11">
        <v>2.7729554094041724</v>
      </c>
      <c r="AD534" s="11">
        <v>0.98338584317410849</v>
      </c>
      <c r="AE534" s="11">
        <v>2.1956310694966623</v>
      </c>
      <c r="AF534" s="11">
        <v>2.5235535925832586</v>
      </c>
      <c r="AG534" s="11">
        <v>0.55781034074968749</v>
      </c>
      <c r="AH534" s="11">
        <v>1.9925992606283331</v>
      </c>
      <c r="AI534" s="11">
        <v>2.6958676459898832</v>
      </c>
      <c r="AJ534" s="11">
        <v>1.1915415954531121</v>
      </c>
      <c r="AK534" s="6"/>
      <c r="AL534" t="s">
        <v>1077</v>
      </c>
      <c r="AM534">
        <v>740</v>
      </c>
      <c r="AN534" s="6"/>
      <c r="AO534" s="20">
        <v>4.6017999999999999</v>
      </c>
      <c r="AP534" s="20">
        <v>6.7304000000000004</v>
      </c>
      <c r="AQ534" s="20">
        <v>2.9584000000000001</v>
      </c>
      <c r="AR534" s="20">
        <v>3.1122000000000001</v>
      </c>
      <c r="AS534" s="20">
        <v>6.2337999999999996</v>
      </c>
      <c r="AT534" s="20">
        <v>3.7395999999999998</v>
      </c>
      <c r="AU534" s="20">
        <v>2.5947</v>
      </c>
      <c r="AV534" s="20">
        <v>4.5069999999999997</v>
      </c>
      <c r="AW534" s="6"/>
      <c r="AX534" s="18">
        <v>2.6080000000000001E-14</v>
      </c>
      <c r="AY534" s="18">
        <v>5.1030000000000003E-15</v>
      </c>
      <c r="AZ534" s="18">
        <v>3.9759999999999997E-6</v>
      </c>
      <c r="BA534" s="18">
        <v>3.559E-7</v>
      </c>
      <c r="BB534" s="18">
        <v>7.4210000000000004E-13</v>
      </c>
      <c r="BC534" s="18">
        <v>2.3289999999999999E-8</v>
      </c>
      <c r="BD534" s="18">
        <v>1.358E-5</v>
      </c>
      <c r="BE534" s="18">
        <v>6.3979999999999996E-9</v>
      </c>
      <c r="BF534" s="13"/>
      <c r="BG534" t="s">
        <v>1191</v>
      </c>
      <c r="BH534" t="s">
        <v>1132</v>
      </c>
      <c r="BI534" t="s">
        <v>1113</v>
      </c>
      <c r="BJ534" t="s">
        <v>1114</v>
      </c>
      <c r="BK534" t="s">
        <v>1115</v>
      </c>
      <c r="BL534" t="s">
        <v>1116</v>
      </c>
      <c r="BM534" t="s">
        <v>1117</v>
      </c>
      <c r="BN534" s="13"/>
      <c r="BO534" t="s">
        <v>973</v>
      </c>
      <c r="BP534" t="s">
        <v>973</v>
      </c>
      <c r="BQ534">
        <v>1</v>
      </c>
      <c r="BR534" t="s">
        <v>973</v>
      </c>
    </row>
    <row r="535" spans="1:70" x14ac:dyDescent="0.25">
      <c r="A535" t="s">
        <v>957</v>
      </c>
      <c r="B535" t="s">
        <v>881</v>
      </c>
      <c r="C535" t="s">
        <v>25</v>
      </c>
      <c r="D535" s="6"/>
      <c r="E535" s="9" t="str">
        <f>HYPERLINK("http://plants.ensembl.org/Triticum_aestivum/Gene/Summary?g=TRIAE_CS42_7DL_TGACv1_604037_AA1992970","TRIAE_CS42_7DL_TGACv1_604037_AA1992970")</f>
        <v>TRIAE_CS42_7DL_TGACv1_604037_AA1992970</v>
      </c>
      <c r="F535" s="9" t="str">
        <f>HYPERLINK("http://mar2016-plants.ensembl.org/Triticum_aestivum/Gene/Summary?db=core;g=Traes_7DL_97DA08203","Traes_7DL_97DA08203")</f>
        <v>Traes_7DL_97DA08203</v>
      </c>
      <c r="H535" s="1" t="s">
        <v>1051</v>
      </c>
      <c r="I535" s="1" t="s">
        <v>1051</v>
      </c>
      <c r="J535" s="1" t="s">
        <v>1051</v>
      </c>
      <c r="L535" s="6"/>
      <c r="M535" s="1" t="s">
        <v>973</v>
      </c>
      <c r="N535" s="1" t="s">
        <v>973</v>
      </c>
      <c r="O535" s="1" t="s">
        <v>973</v>
      </c>
      <c r="P535" s="1">
        <v>1</v>
      </c>
      <c r="Q535" s="1" t="s">
        <v>973</v>
      </c>
      <c r="R535" s="1" t="s">
        <v>973</v>
      </c>
      <c r="S535" s="1"/>
      <c r="T535" s="6"/>
      <c r="U535" s="11">
        <v>7.0618449471344142</v>
      </c>
      <c r="V535" s="11">
        <v>7.4809603395615305</v>
      </c>
      <c r="W535" s="11">
        <v>5.5753042619006621</v>
      </c>
      <c r="X535" s="11">
        <v>5.1467326003678</v>
      </c>
      <c r="Y535" s="11">
        <v>5.7749021192748708</v>
      </c>
      <c r="Z535" s="11">
        <v>5.5365627282214032</v>
      </c>
      <c r="AA535" s="11">
        <v>5.4652409624914871</v>
      </c>
      <c r="AB535" s="11">
        <v>4.8553170134679844</v>
      </c>
      <c r="AC535" s="11">
        <v>1.5761673662686713</v>
      </c>
      <c r="AD535" s="11">
        <v>0</v>
      </c>
      <c r="AE535" s="11">
        <v>1.5022457248199206</v>
      </c>
      <c r="AF535" s="11">
        <v>0</v>
      </c>
      <c r="AG535" s="11">
        <v>0.26767561635783277</v>
      </c>
      <c r="AH535" s="11">
        <v>0</v>
      </c>
      <c r="AI535" s="11">
        <v>0.32799388035946819</v>
      </c>
      <c r="AJ535" s="11">
        <v>0</v>
      </c>
      <c r="AK535" s="6"/>
      <c r="AL535" t="s">
        <v>1077</v>
      </c>
      <c r="AM535">
        <v>2497</v>
      </c>
      <c r="AN535" s="6"/>
      <c r="AO535" s="20">
        <v>6.2689000000000004</v>
      </c>
      <c r="AP535" s="20">
        <v>8.3909000000000002</v>
      </c>
      <c r="AQ535" s="20">
        <v>4.5598999999999998</v>
      </c>
      <c r="AR535" s="20">
        <v>7.0823</v>
      </c>
      <c r="AS535" s="20">
        <v>7.5095999999999998</v>
      </c>
      <c r="AT535" s="20">
        <v>7.4173</v>
      </c>
      <c r="AU535" s="20">
        <v>6.7069000000000001</v>
      </c>
      <c r="AV535" s="20">
        <v>6.9219999999999997</v>
      </c>
      <c r="AW535" s="6"/>
      <c r="AX535" s="18">
        <v>4.3020000000000001E-17</v>
      </c>
      <c r="AY535" s="18">
        <v>5.2809999999999998E-14</v>
      </c>
      <c r="AZ535" s="18">
        <v>5.2859999999999999E-11</v>
      </c>
      <c r="BA535" s="18">
        <v>3.4840000000000001E-10</v>
      </c>
      <c r="BB535" s="18">
        <v>1.8699999999999999E-12</v>
      </c>
      <c r="BC535" s="18">
        <v>4.5370000000000001E-11</v>
      </c>
      <c r="BD535" s="18">
        <v>1.1390000000000001E-9</v>
      </c>
      <c r="BE535" s="18">
        <v>9.4000000000000006E-10</v>
      </c>
      <c r="BF535" s="13"/>
      <c r="BG535" t="s">
        <v>1191</v>
      </c>
      <c r="BH535" t="s">
        <v>1132</v>
      </c>
      <c r="BI535" t="s">
        <v>1113</v>
      </c>
      <c r="BJ535" t="s">
        <v>1114</v>
      </c>
      <c r="BK535" t="s">
        <v>1115</v>
      </c>
      <c r="BL535" t="s">
        <v>1116</v>
      </c>
      <c r="BM535" t="s">
        <v>1117</v>
      </c>
      <c r="BN535" s="13"/>
      <c r="BO535" t="s">
        <v>973</v>
      </c>
      <c r="BP535" t="s">
        <v>973</v>
      </c>
      <c r="BQ535">
        <v>1</v>
      </c>
      <c r="BR535" t="s">
        <v>973</v>
      </c>
    </row>
    <row r="536" spans="1:70" x14ac:dyDescent="0.25">
      <c r="A536" t="s">
        <v>708</v>
      </c>
      <c r="B536" t="s">
        <v>657</v>
      </c>
      <c r="C536" t="s">
        <v>133</v>
      </c>
      <c r="D536" s="6"/>
      <c r="E536" s="9" t="str">
        <f>HYPERLINK("http://plants.ensembl.org/Triticum_aestivum/Gene/Summary?g=TRIAE_CS42_5BL_TGACv1_404599_AA1305750","TRIAE_CS42_5BL_TGACv1_404599_AA1305750")</f>
        <v>TRIAE_CS42_5BL_TGACv1_404599_AA1305750</v>
      </c>
      <c r="F536" s="9" t="str">
        <f>HYPERLINK("http://mar2016-plants.ensembl.org/Triticum_aestivum/Gene/Summary?db=core;g=Traes_5BL_2B94AACE6","Traes_5BL_2B94AACE6")</f>
        <v>Traes_5BL_2B94AACE6</v>
      </c>
      <c r="G536" t="s">
        <v>1022</v>
      </c>
      <c r="H536" s="8" t="str">
        <f>HYPERLINK("http://plants.ensembl.org/Brachypodium_distachyon/Gene/Summary?g=Bradi1g04320","Bradi1g04320")</f>
        <v>Bradi1g04320</v>
      </c>
      <c r="I536" s="8" t="str">
        <f>HYPERLINK("http://plants.ensembl.org/Arabidopsis_thaliana/Gene/Summary?g=AT1G52340","AT1G52340")</f>
        <v>AT1G52340</v>
      </c>
      <c r="J536" s="9" t="str">
        <f>HYPERLINK("http://plants.ensembl.org/Oryza_sativa/Gene/Summary?db=otherfeatures;g=LOC_Os03g59610","LOC_Os03g59610")</f>
        <v>LOC_Os03g59610</v>
      </c>
      <c r="K536" s="9" t="str">
        <f>HYPERLINK("http://plants.ensembl.org/Zea_mays/Gene/Summary?db=otherfeatures;g=GRMZM2G332976","GRMZM2G332976")</f>
        <v>GRMZM2G332976</v>
      </c>
      <c r="L536" s="6"/>
      <c r="M536" t="s">
        <v>973</v>
      </c>
      <c r="N536" t="s">
        <v>973</v>
      </c>
      <c r="O536" t="s">
        <v>973</v>
      </c>
      <c r="P536" t="s">
        <v>973</v>
      </c>
      <c r="S536">
        <v>1</v>
      </c>
      <c r="T536" s="6"/>
      <c r="U536" s="11">
        <v>6.4603215525179731</v>
      </c>
      <c r="V536" s="11">
        <v>6.3321254875642126</v>
      </c>
      <c r="W536" s="11">
        <v>7.3370473853848059</v>
      </c>
      <c r="X536" s="11">
        <v>6.9445320850179995</v>
      </c>
      <c r="Y536" s="11">
        <v>7.2399698352243034</v>
      </c>
      <c r="Z536" s="11">
        <v>7.615285335196802</v>
      </c>
      <c r="AA536" s="11">
        <v>8.1343460541714911</v>
      </c>
      <c r="AB536" s="11">
        <v>7.2140671534023415</v>
      </c>
      <c r="AC536" s="11">
        <v>7.117880284676211</v>
      </c>
      <c r="AD536" s="11">
        <v>8.3940607705304284</v>
      </c>
      <c r="AE536" s="11">
        <v>8.1295820016841294</v>
      </c>
      <c r="AF536" s="11">
        <v>8.0403715581953232</v>
      </c>
      <c r="AG536" s="11">
        <v>7.7776831553694645</v>
      </c>
      <c r="AH536" s="11">
        <v>8.1422422131971128</v>
      </c>
      <c r="AI536" s="11">
        <v>7.4275357793455719</v>
      </c>
      <c r="AJ536" s="11">
        <v>8.1032934043092073</v>
      </c>
      <c r="AK536" s="6"/>
      <c r="AL536" t="s">
        <v>1088</v>
      </c>
      <c r="AM536">
        <v>0</v>
      </c>
      <c r="AN536" s="6"/>
      <c r="AO536" s="20">
        <v>-0.76470000000000005</v>
      </c>
      <c r="AP536" s="20">
        <v>-2.0135999999999998</v>
      </c>
      <c r="AQ536" s="20">
        <v>-0.78800000000000003</v>
      </c>
      <c r="AR536" s="20">
        <v>-1.0931999999999999</v>
      </c>
      <c r="AS536" s="20">
        <v>-0.53520000000000001</v>
      </c>
      <c r="AT536" s="20">
        <v>-0.52210000000000001</v>
      </c>
      <c r="AU536" s="20">
        <v>0.70469999999999999</v>
      </c>
      <c r="AV536" s="20">
        <v>-0.88570000000000004</v>
      </c>
      <c r="AW536" s="6"/>
      <c r="AX536" s="18">
        <v>8.3669999999999994E-2</v>
      </c>
      <c r="AY536" s="18">
        <v>1.3900000000000001E-5</v>
      </c>
      <c r="AZ536" s="18">
        <v>6.1260000000000002E-2</v>
      </c>
      <c r="BA536" s="18">
        <v>9.8239999999999994E-3</v>
      </c>
      <c r="BB536" s="18">
        <v>0.2046</v>
      </c>
      <c r="BC536" s="18">
        <v>0.2147</v>
      </c>
      <c r="BD536" s="18">
        <v>9.3780000000000002E-2</v>
      </c>
      <c r="BE536" s="18">
        <v>3.601E-2</v>
      </c>
      <c r="BF536" s="13"/>
      <c r="BG536" t="s">
        <v>1249</v>
      </c>
      <c r="BH536" t="s">
        <v>1199</v>
      </c>
      <c r="BI536" t="s">
        <v>1113</v>
      </c>
      <c r="BJ536" t="s">
        <v>1114</v>
      </c>
      <c r="BK536" t="s">
        <v>1151</v>
      </c>
      <c r="BL536" t="s">
        <v>1116</v>
      </c>
      <c r="BM536" t="s">
        <v>1117</v>
      </c>
      <c r="BN536" s="13"/>
      <c r="BO536" t="s">
        <v>973</v>
      </c>
      <c r="BP536" t="s">
        <v>973</v>
      </c>
      <c r="BQ536" t="s">
        <v>973</v>
      </c>
      <c r="BR536" t="s">
        <v>973</v>
      </c>
    </row>
    <row r="537" spans="1:70" x14ac:dyDescent="0.25">
      <c r="A537" t="s">
        <v>55</v>
      </c>
      <c r="B537" t="s">
        <v>56</v>
      </c>
      <c r="C537" t="s">
        <v>9</v>
      </c>
      <c r="D537" s="6"/>
      <c r="E537" s="9" t="str">
        <f>HYPERLINK("http://plants.ensembl.org/Triticum_aestivum/Gene/Summary?g=TRIAE_CS42_1AL_TGACv1_002051_AA0038150","TRIAE_CS42_1AL_TGACv1_002051_AA0038150")</f>
        <v>TRIAE_CS42_1AL_TGACv1_002051_AA0038150</v>
      </c>
      <c r="F537" s="9"/>
      <c r="G537" t="s">
        <v>1046</v>
      </c>
      <c r="H537" s="8" t="str">
        <f>HYPERLINK("http://plants.ensembl.org/Brachypodium_distachyon/Gene/Summary?g=Bradi2g18530","Bradi2g18530")</f>
        <v>Bradi2g18530</v>
      </c>
      <c r="I537" s="8" t="str">
        <f>HYPERLINK("http://plants.ensembl.org/Arabidopsis_thaliana/Gene/Summary?g=AT5G64810","AT5G64810")</f>
        <v>AT5G64810</v>
      </c>
      <c r="J537" s="9" t="str">
        <f>HYPERLINK("http://plants.ensembl.org/Oryza_sativa/Gene/Summary?db=otherfeatures;g=LOC_Os05g46020","LOC_Os05g46020")</f>
        <v>LOC_Os05g46020</v>
      </c>
      <c r="K537" s="9" t="str">
        <f>HYPERLINK("http://plants.ensembl.org/Zea_mays/Gene/Summary?db=otherfeatures;g=GRMZM2G137802","GRMZM2G137802")</f>
        <v>GRMZM2G137802</v>
      </c>
      <c r="L537" s="6"/>
      <c r="M537" t="s">
        <v>973</v>
      </c>
      <c r="N537">
        <v>1</v>
      </c>
      <c r="O537" t="s">
        <v>973</v>
      </c>
      <c r="P537" t="s">
        <v>973</v>
      </c>
      <c r="S537" t="s">
        <v>973</v>
      </c>
      <c r="T537" s="6"/>
      <c r="U537" s="11">
        <v>8.1567734490747501</v>
      </c>
      <c r="V537" s="11">
        <v>7.6284640104039729</v>
      </c>
      <c r="W537" s="11">
        <v>6.3321660754453415</v>
      </c>
      <c r="X537" s="11">
        <v>6.3129210637066473</v>
      </c>
      <c r="Y537" s="11">
        <v>6.3718707158758008</v>
      </c>
      <c r="Z537" s="11">
        <v>6.0588172241900651</v>
      </c>
      <c r="AA537" s="11">
        <v>6.3511235754987574</v>
      </c>
      <c r="AB537" s="11">
        <v>5.8177528555001521</v>
      </c>
      <c r="AC537" s="11">
        <v>2.9023373255316733</v>
      </c>
      <c r="AD537" s="11">
        <v>1.196103397714807</v>
      </c>
      <c r="AE537" s="11">
        <v>1.7597097905223782</v>
      </c>
      <c r="AF537" s="11">
        <v>2.0026185182230622</v>
      </c>
      <c r="AG537" s="11">
        <v>1.7428398146553734</v>
      </c>
      <c r="AH537" s="11">
        <v>0.41243830823088656</v>
      </c>
      <c r="AI537" s="11">
        <v>1.9320989773218831</v>
      </c>
      <c r="AJ537" s="11">
        <v>0.5959173456275324</v>
      </c>
      <c r="AK537" s="6"/>
      <c r="AL537" t="s">
        <v>1077</v>
      </c>
      <c r="AM537">
        <v>1283</v>
      </c>
      <c r="AN537" s="6"/>
      <c r="AO537" s="20">
        <v>5.4550000000000001</v>
      </c>
      <c r="AP537" s="20">
        <v>6.4813000000000001</v>
      </c>
      <c r="AQ537" s="20">
        <v>4.9390999999999998</v>
      </c>
      <c r="AR537" s="20">
        <v>4.7873000000000001</v>
      </c>
      <c r="AS537" s="20">
        <v>5.0545</v>
      </c>
      <c r="AT537" s="20">
        <v>6.9481000000000002</v>
      </c>
      <c r="AU537" s="20">
        <v>4.7375999999999996</v>
      </c>
      <c r="AV537" s="20">
        <v>6.2869000000000002</v>
      </c>
      <c r="AW537" s="6"/>
      <c r="AX537" s="18">
        <v>5.5219999999999997E-21</v>
      </c>
      <c r="AY537" s="18">
        <v>1.106E-15</v>
      </c>
      <c r="AZ537" s="18">
        <v>1.2160000000000001E-13</v>
      </c>
      <c r="BA537" s="18">
        <v>4.7190000000000004E-13</v>
      </c>
      <c r="BB537" s="18">
        <v>4.029E-16</v>
      </c>
      <c r="BC537" s="18">
        <v>1.2899999999999999E-10</v>
      </c>
      <c r="BD537" s="18">
        <v>1.2750000000000001E-13</v>
      </c>
      <c r="BE537" s="18">
        <v>2.5259999999999999E-11</v>
      </c>
      <c r="BF537" s="13"/>
      <c r="BG537" t="s">
        <v>1191</v>
      </c>
      <c r="BH537" t="s">
        <v>1192</v>
      </c>
      <c r="BI537" t="s">
        <v>1113</v>
      </c>
      <c r="BJ537" t="s">
        <v>1114</v>
      </c>
      <c r="BK537" t="s">
        <v>1115</v>
      </c>
      <c r="BL537" t="s">
        <v>1116</v>
      </c>
      <c r="BM537" t="s">
        <v>1117</v>
      </c>
      <c r="BN537" s="13"/>
      <c r="BO537" t="s">
        <v>973</v>
      </c>
      <c r="BP537" t="s">
        <v>973</v>
      </c>
      <c r="BQ537" t="s">
        <v>973</v>
      </c>
      <c r="BR537" t="s">
        <v>973</v>
      </c>
    </row>
    <row r="538" spans="1:70" x14ac:dyDescent="0.25">
      <c r="A538" t="s">
        <v>113</v>
      </c>
      <c r="B538" t="s">
        <v>56</v>
      </c>
      <c r="C538" t="s">
        <v>9</v>
      </c>
      <c r="D538" s="6"/>
      <c r="E538" s="9" t="str">
        <f>HYPERLINK("http://plants.ensembl.org/Triticum_aestivum/Gene/Summary?g=TRIAE_CS42_1DL_TGACv1_061434_AA0195250","TRIAE_CS42_1DL_TGACv1_061434_AA0195250")</f>
        <v>TRIAE_CS42_1DL_TGACv1_061434_AA0195250</v>
      </c>
      <c r="G538" t="s">
        <v>1046</v>
      </c>
      <c r="H538" s="1" t="s">
        <v>1051</v>
      </c>
      <c r="I538" s="1" t="s">
        <v>1051</v>
      </c>
      <c r="J538" s="9" t="str">
        <f>HYPERLINK("http://plants.ensembl.org/Oryza_sativa/Gene/Summary?g=OS05G0537100","OS05G0537100")</f>
        <v>OS05G0537100</v>
      </c>
      <c r="K538" s="9" t="str">
        <f>HYPERLINK("http://plants.ensembl.org/Zea_mays/Gene/Summary?db=otherfeatures;g=GRMZM2G137802","GRMZM2G137802")</f>
        <v>GRMZM2G137802</v>
      </c>
      <c r="L538" s="6"/>
      <c r="M538" t="s">
        <v>973</v>
      </c>
      <c r="N538">
        <v>1</v>
      </c>
      <c r="O538" t="s">
        <v>973</v>
      </c>
      <c r="P538" t="s">
        <v>973</v>
      </c>
      <c r="S538" t="s">
        <v>973</v>
      </c>
      <c r="T538" s="6"/>
      <c r="U538" s="11">
        <v>8.4578946579017629</v>
      </c>
      <c r="V538" s="11">
        <v>7.3422907226339325</v>
      </c>
      <c r="W538" s="11">
        <v>7.6199414031071093</v>
      </c>
      <c r="X538" s="11">
        <v>7.8211027999761651</v>
      </c>
      <c r="Y538" s="11">
        <v>8.1096257465678843</v>
      </c>
      <c r="Z538" s="11">
        <v>7.9176819695117269</v>
      </c>
      <c r="AA538" s="11">
        <v>8.0219440053574118</v>
      </c>
      <c r="AB538" s="11">
        <v>7.3243305851026665</v>
      </c>
      <c r="AC538" s="11">
        <v>5.6508411332545965</v>
      </c>
      <c r="AD538" s="11">
        <v>3.7278333458177988</v>
      </c>
      <c r="AE538" s="11">
        <v>3.9172312345338738</v>
      </c>
      <c r="AF538" s="11">
        <v>3.9059605590937596</v>
      </c>
      <c r="AG538" s="11">
        <v>2.9539977322422231</v>
      </c>
      <c r="AH538" s="11">
        <v>3.1772534150066258</v>
      </c>
      <c r="AI538" s="11">
        <v>4.2801595441210134</v>
      </c>
      <c r="AJ538" s="11">
        <v>3.895150716681103</v>
      </c>
      <c r="AK538" s="6"/>
      <c r="AL538" t="s">
        <v>1077</v>
      </c>
      <c r="AM538">
        <v>1540</v>
      </c>
      <c r="AN538" s="6"/>
      <c r="AO538" s="20">
        <v>2.8144</v>
      </c>
      <c r="AP538" s="20">
        <v>3.2021000000000002</v>
      </c>
      <c r="AQ538" s="20">
        <v>3.7492999999999999</v>
      </c>
      <c r="AR538" s="20">
        <v>3.8837999999999999</v>
      </c>
      <c r="AS538" s="20">
        <v>5.2419000000000002</v>
      </c>
      <c r="AT538" s="20">
        <v>4.8109000000000002</v>
      </c>
      <c r="AU538" s="20">
        <v>3.7692000000000001</v>
      </c>
      <c r="AV538" s="20">
        <v>3.4775999999999998</v>
      </c>
      <c r="AW538" s="6"/>
      <c r="AX538" s="18">
        <v>7.1340000000000004E-10</v>
      </c>
      <c r="AY538" s="18">
        <v>2.8250000000000001E-9</v>
      </c>
      <c r="AZ538" s="18">
        <v>6.0800000000000002E-15</v>
      </c>
      <c r="BA538" s="18">
        <v>8.2200000000000004E-16</v>
      </c>
      <c r="BB538" s="18">
        <v>2.22E-26</v>
      </c>
      <c r="BC538" s="18">
        <v>7.4240000000000004E-21</v>
      </c>
      <c r="BD538" s="18">
        <v>9.8719999999999995E-16</v>
      </c>
      <c r="BE538" s="18">
        <v>4.8059999999999999E-13</v>
      </c>
      <c r="BF538" s="13"/>
      <c r="BG538" t="s">
        <v>1131</v>
      </c>
      <c r="BH538" t="s">
        <v>1112</v>
      </c>
      <c r="BI538" t="s">
        <v>1113</v>
      </c>
      <c r="BJ538" t="s">
        <v>1148</v>
      </c>
      <c r="BK538" t="s">
        <v>1115</v>
      </c>
      <c r="BL538" t="s">
        <v>1116</v>
      </c>
      <c r="BM538" t="s">
        <v>1117</v>
      </c>
      <c r="BN538" s="13"/>
      <c r="BO538" t="s">
        <v>973</v>
      </c>
      <c r="BP538" t="s">
        <v>973</v>
      </c>
      <c r="BQ538" t="s">
        <v>973</v>
      </c>
      <c r="BR538" t="s">
        <v>973</v>
      </c>
    </row>
    <row r="539" spans="1:70" x14ac:dyDescent="0.25">
      <c r="A539" t="s">
        <v>157</v>
      </c>
      <c r="B539" t="s">
        <v>158</v>
      </c>
      <c r="C539" t="s">
        <v>159</v>
      </c>
      <c r="D539" s="6"/>
      <c r="E539" s="9" t="str">
        <f>HYPERLINK("http://plants.ensembl.org/Triticum_aestivum/Gene/Summary?g=TRIAE_CS42_2AL_TGACv1_094368_AA0296520","TRIAE_CS42_2AL_TGACv1_094368_AA0296520")</f>
        <v>TRIAE_CS42_2AL_TGACv1_094368_AA0296520</v>
      </c>
      <c r="F539" s="9" t="str">
        <f>HYPERLINK("http://mar2016-plants.ensembl.org/Triticum_aestivum/Gene/Summary?db=core;g=Traes_2AL_5FF7D6940","Traes_2AL_5FF7D6940")</f>
        <v>Traes_2AL_5FF7D6940</v>
      </c>
      <c r="G539" t="s">
        <v>994</v>
      </c>
      <c r="H539" s="8" t="str">
        <f>HYPERLINK("http://plants.ensembl.org/Brachypodium_distachyon/Gene/Summary?g=Bradi5g11750","Bradi5g11750")</f>
        <v>Bradi5g11750</v>
      </c>
      <c r="I539" s="8" t="str">
        <f>HYPERLINK("http://plants.ensembl.org/Arabidopsis_thaliana/Gene/Summary?g=AT5G67030","AT5G67030")</f>
        <v>AT5G67030</v>
      </c>
      <c r="J539" s="9" t="str">
        <f>HYPERLINK("http://plants.ensembl.org/Oryza_sativa/Gene/Summary?db=otherfeatures;g=LOC_Os04g37619","LOC_Os04g37619")</f>
        <v>LOC_Os04g37619</v>
      </c>
      <c r="L539" s="6"/>
      <c r="M539" s="1" t="s">
        <v>973</v>
      </c>
      <c r="N539" s="1" t="s">
        <v>973</v>
      </c>
      <c r="O539" s="1" t="s">
        <v>973</v>
      </c>
      <c r="P539" s="1" t="s">
        <v>973</v>
      </c>
      <c r="Q539" s="1" t="s">
        <v>973</v>
      </c>
      <c r="R539" s="1" t="s">
        <v>973</v>
      </c>
      <c r="S539" s="1">
        <v>1</v>
      </c>
      <c r="T539" s="6"/>
      <c r="U539" s="11">
        <v>8.1983448474070002</v>
      </c>
      <c r="V539" s="11">
        <v>8.1141558182079674</v>
      </c>
      <c r="W539" s="11">
        <v>7.7293622021248574</v>
      </c>
      <c r="X539" s="11">
        <v>8.2058101886467671</v>
      </c>
      <c r="Y539" s="11">
        <v>7.092558778734686</v>
      </c>
      <c r="Z539" s="11">
        <v>6.7975595069569756</v>
      </c>
      <c r="AA539" s="11">
        <v>8.4799678964762322</v>
      </c>
      <c r="AB539" s="11">
        <v>8.116565244154188</v>
      </c>
      <c r="AC539" s="11">
        <v>8.6708334920505212</v>
      </c>
      <c r="AD539" s="11">
        <v>8.3075454054724638</v>
      </c>
      <c r="AE539" s="11">
        <v>8.0871343078428524</v>
      </c>
      <c r="AF539" s="11">
        <v>7.9534507253230187</v>
      </c>
      <c r="AG539" s="11">
        <v>7.8027608324807014</v>
      </c>
      <c r="AH539" s="11">
        <v>7.4024675183328155</v>
      </c>
      <c r="AI539" s="11">
        <v>8.4703584422916478</v>
      </c>
      <c r="AJ539" s="11">
        <v>8.7197244409604604</v>
      </c>
      <c r="AK539" s="6"/>
      <c r="AL539" t="s">
        <v>1093</v>
      </c>
      <c r="AM539">
        <v>0</v>
      </c>
      <c r="AN539" s="6"/>
      <c r="AO539" s="20">
        <v>-0.44390000000000002</v>
      </c>
      <c r="AP539" s="20">
        <v>-0.1988</v>
      </c>
      <c r="AQ539" s="20">
        <v>-0.35780000000000001</v>
      </c>
      <c r="AR539" s="20">
        <v>0.25209999999999999</v>
      </c>
      <c r="AS539" s="20">
        <v>-0.71</v>
      </c>
      <c r="AT539" s="20">
        <v>-0.59909999999999997</v>
      </c>
      <c r="AU539" s="20">
        <v>7.6E-3</v>
      </c>
      <c r="AV539" s="20">
        <v>-0.60399999999999998</v>
      </c>
      <c r="AW539" s="6"/>
      <c r="AX539" s="18">
        <v>7.893E-2</v>
      </c>
      <c r="AY539" s="18">
        <v>0.46350000000000002</v>
      </c>
      <c r="AZ539" s="18">
        <v>0.1489</v>
      </c>
      <c r="BA539" s="18">
        <v>0.30959999999999999</v>
      </c>
      <c r="BB539" s="18">
        <v>4.7549999999999997E-3</v>
      </c>
      <c r="BC539" s="18">
        <v>1.9199999999999998E-2</v>
      </c>
      <c r="BD539" s="18">
        <v>0.97509999999999997</v>
      </c>
      <c r="BE539" s="18">
        <v>1.4149999999999999E-2</v>
      </c>
      <c r="BF539" s="13"/>
      <c r="BG539" t="s">
        <v>1111</v>
      </c>
      <c r="BH539" t="s">
        <v>1225</v>
      </c>
      <c r="BI539" t="s">
        <v>1113</v>
      </c>
      <c r="BJ539" t="s">
        <v>1114</v>
      </c>
      <c r="BK539" t="s">
        <v>1115</v>
      </c>
      <c r="BL539" t="s">
        <v>1329</v>
      </c>
      <c r="BM539" t="s">
        <v>1194</v>
      </c>
      <c r="BN539" s="13"/>
      <c r="BO539" t="s">
        <v>973</v>
      </c>
      <c r="BP539" t="s">
        <v>973</v>
      </c>
      <c r="BQ539" t="s">
        <v>973</v>
      </c>
      <c r="BR539" t="s">
        <v>973</v>
      </c>
    </row>
    <row r="540" spans="1:70" x14ac:dyDescent="0.25">
      <c r="A540" t="s">
        <v>218</v>
      </c>
      <c r="B540" t="s">
        <v>219</v>
      </c>
      <c r="C540" t="s">
        <v>159</v>
      </c>
      <c r="D540" s="6"/>
      <c r="E540" s="9" t="str">
        <f>HYPERLINK("http://plants.ensembl.org/Triticum_aestivum/Gene/Summary?g=TRIAE_CS42_2BL_TGACv1_131798_AA0432350","TRIAE_CS42_2BL_TGACv1_131798_AA0432350")</f>
        <v>TRIAE_CS42_2BL_TGACv1_131798_AA0432350</v>
      </c>
      <c r="F540" s="9" t="str">
        <f>HYPERLINK("http://mar2016-plants.ensembl.org/Triticum_aestivum/Gene/Summary?db=core;g=Traes_2BL_047344CB6","Traes_2BL_047344CB6")</f>
        <v>Traes_2BL_047344CB6</v>
      </c>
      <c r="G540" t="s">
        <v>994</v>
      </c>
      <c r="H540" s="8" t="str">
        <f>HYPERLINK("http://plants.ensembl.org/Brachypodium_distachyon/Gene/Summary?g=Bradi5g11750","Bradi5g11750")</f>
        <v>Bradi5g11750</v>
      </c>
      <c r="I540" s="8" t="str">
        <f>HYPERLINK("http://plants.ensembl.org/Arabidopsis_thaliana/Gene/Summary?g=AT5G67030","AT5G67030")</f>
        <v>AT5G67030</v>
      </c>
      <c r="J540" s="9" t="str">
        <f>HYPERLINK("http://plants.ensembl.org/Oryza_sativa/Gene/Summary?db=otherfeatures;g=LOC_Os04g37619","LOC_Os04g37619")</f>
        <v>LOC_Os04g37619</v>
      </c>
      <c r="L540" s="6"/>
      <c r="M540" s="1" t="s">
        <v>973</v>
      </c>
      <c r="N540" s="1" t="s">
        <v>973</v>
      </c>
      <c r="O540" s="1" t="s">
        <v>973</v>
      </c>
      <c r="P540" s="1" t="s">
        <v>973</v>
      </c>
      <c r="Q540" s="1" t="s">
        <v>973</v>
      </c>
      <c r="R540" s="1" t="s">
        <v>973</v>
      </c>
      <c r="S540" s="1">
        <v>1</v>
      </c>
      <c r="T540" s="6"/>
      <c r="U540" s="11">
        <v>6.7841759017630388</v>
      </c>
      <c r="V540" s="11">
        <v>7.2016260204144267</v>
      </c>
      <c r="W540" s="11">
        <v>6.7036309232960392</v>
      </c>
      <c r="X540" s="11">
        <v>7.2961906248444368</v>
      </c>
      <c r="Y540" s="11">
        <v>6.7036669105312594</v>
      </c>
      <c r="Z540" s="11">
        <v>6.9377908491061797</v>
      </c>
      <c r="AA540" s="11">
        <v>7.6268790818632581</v>
      </c>
      <c r="AB540" s="11">
        <v>7.2888448545143625</v>
      </c>
      <c r="AC540" s="11">
        <v>8.2210916383949844</v>
      </c>
      <c r="AD540" s="11">
        <v>8.0842083357034209</v>
      </c>
      <c r="AE540" s="11">
        <v>7.2105953720211566</v>
      </c>
      <c r="AF540" s="11">
        <v>7.4018969314666094</v>
      </c>
      <c r="AG540" s="11">
        <v>7.3653533888913989</v>
      </c>
      <c r="AH540" s="11">
        <v>6.9857766775268413</v>
      </c>
      <c r="AI540" s="11">
        <v>7.4140066748938089</v>
      </c>
      <c r="AJ540" s="11">
        <v>8.4113749742268507</v>
      </c>
      <c r="AK540" s="6"/>
      <c r="AL540" t="s">
        <v>1079</v>
      </c>
      <c r="AM540">
        <v>0</v>
      </c>
      <c r="AN540" s="6"/>
      <c r="AO540" s="20">
        <v>-1.4060999999999999</v>
      </c>
      <c r="AP540" s="20">
        <v>-0.87480000000000002</v>
      </c>
      <c r="AQ540" s="20">
        <v>-0.5071</v>
      </c>
      <c r="AR540" s="20">
        <v>-0.1052</v>
      </c>
      <c r="AS540" s="20">
        <v>-0.6633</v>
      </c>
      <c r="AT540" s="20">
        <v>-4.3400000000000001E-2</v>
      </c>
      <c r="AU540" s="20">
        <v>0.2102</v>
      </c>
      <c r="AV540" s="20">
        <v>-1.1224000000000001</v>
      </c>
      <c r="AW540" s="6"/>
      <c r="AX540" s="18">
        <v>4.8919999999999999E-5</v>
      </c>
      <c r="AY540" s="18">
        <v>1.6199999999999999E-2</v>
      </c>
      <c r="AZ540" s="18">
        <v>0.13120000000000001</v>
      </c>
      <c r="BA540" s="18">
        <v>0.753</v>
      </c>
      <c r="BB540" s="18">
        <v>4.7969999999999999E-2</v>
      </c>
      <c r="BC540" s="18">
        <v>0.89749999999999996</v>
      </c>
      <c r="BD540" s="18">
        <v>0.52559999999999996</v>
      </c>
      <c r="BE540" s="18">
        <v>7.1319999999999999E-4</v>
      </c>
      <c r="BF540" s="13"/>
      <c r="BG540" t="s">
        <v>1332</v>
      </c>
      <c r="BH540" t="s">
        <v>1112</v>
      </c>
      <c r="BI540" t="s">
        <v>1391</v>
      </c>
      <c r="BJ540" t="s">
        <v>1114</v>
      </c>
      <c r="BK540" t="s">
        <v>1115</v>
      </c>
      <c r="BL540" t="s">
        <v>1116</v>
      </c>
      <c r="BM540" t="s">
        <v>1194</v>
      </c>
      <c r="BN540" s="13"/>
      <c r="BO540" t="s">
        <v>973</v>
      </c>
      <c r="BP540" t="s">
        <v>973</v>
      </c>
      <c r="BQ540" t="s">
        <v>973</v>
      </c>
      <c r="BR540" t="s">
        <v>973</v>
      </c>
    </row>
    <row r="541" spans="1:70" x14ac:dyDescent="0.25">
      <c r="A541" t="s">
        <v>265</v>
      </c>
      <c r="B541" t="s">
        <v>266</v>
      </c>
      <c r="C541" t="s">
        <v>159</v>
      </c>
      <c r="D541" s="6"/>
      <c r="E541" s="9" t="str">
        <f>HYPERLINK("http://plants.ensembl.org/Triticum_aestivum/Gene/Summary?g=TRIAE_CS42_2DL_TGACv1_158673_AA0524320","TRIAE_CS42_2DL_TGACv1_158673_AA0524320")</f>
        <v>TRIAE_CS42_2DL_TGACv1_158673_AA0524320</v>
      </c>
      <c r="F541" s="9" t="str">
        <f>HYPERLINK("http://mar2016-plants.ensembl.org/Triticum_aestivum/Gene/Summary?db=core;g=Traes_2DL_7A9E10914","Traes_2DL_7A9E10914")</f>
        <v>Traes_2DL_7A9E10914</v>
      </c>
      <c r="G541" t="s">
        <v>994</v>
      </c>
      <c r="H541" s="8" t="str">
        <f>HYPERLINK("http://plants.ensembl.org/Brachypodium_distachyon/Gene/Summary?g=Bradi5g11750","Bradi5g11750")</f>
        <v>Bradi5g11750</v>
      </c>
      <c r="I541" s="8" t="str">
        <f>HYPERLINK("http://plants.ensembl.org/Arabidopsis_thaliana/Gene/Summary?g=AT5G67030","AT5G67030")</f>
        <v>AT5G67030</v>
      </c>
      <c r="J541" s="9" t="str">
        <f>HYPERLINK("http://plants.ensembl.org/Oryza_sativa/Gene/Summary?db=otherfeatures;g=LOC_Os04g37619","LOC_Os04g37619")</f>
        <v>LOC_Os04g37619</v>
      </c>
      <c r="K541" s="9" t="str">
        <f>HYPERLINK("http://plants.ensembl.org/Zea_mays/Gene/Summary?db=otherfeatures;g=GRMZM2G127139","GRMZM2G127139")</f>
        <v>GRMZM2G127139</v>
      </c>
      <c r="L541" s="6"/>
      <c r="M541" t="s">
        <v>973</v>
      </c>
      <c r="N541" t="s">
        <v>973</v>
      </c>
      <c r="O541" t="s">
        <v>973</v>
      </c>
      <c r="P541" t="s">
        <v>973</v>
      </c>
      <c r="S541">
        <v>1</v>
      </c>
      <c r="T541" s="6"/>
      <c r="U541" s="11">
        <v>7.6681926553929474</v>
      </c>
      <c r="V541" s="11">
        <v>8.1063785079571584</v>
      </c>
      <c r="W541" s="11">
        <v>8.0428303525374414</v>
      </c>
      <c r="X541" s="11">
        <v>8.3924098782483654</v>
      </c>
      <c r="Y541" s="11">
        <v>7.6096653424378022</v>
      </c>
      <c r="Z541" s="11">
        <v>7.8892283268117067</v>
      </c>
      <c r="AA541" s="11">
        <v>8.4722321361808355</v>
      </c>
      <c r="AB541" s="11">
        <v>8.289497600322802</v>
      </c>
      <c r="AC541" s="11">
        <v>9.0034121246483707</v>
      </c>
      <c r="AD541" s="11">
        <v>8.8474394034356401</v>
      </c>
      <c r="AE541" s="11">
        <v>8.4880307730927704</v>
      </c>
      <c r="AF541" s="11">
        <v>8.5086776903184749</v>
      </c>
      <c r="AG541" s="11">
        <v>8.4235760701312454</v>
      </c>
      <c r="AH541" s="11">
        <v>8.2341670940315677</v>
      </c>
      <c r="AI541" s="11">
        <v>8.5240149486734218</v>
      </c>
      <c r="AJ541" s="11">
        <v>9.263611697072939</v>
      </c>
      <c r="AK541" s="6"/>
      <c r="AL541" t="s">
        <v>1088</v>
      </c>
      <c r="AM541">
        <v>0</v>
      </c>
      <c r="AN541" s="6"/>
      <c r="AO541" s="20">
        <v>-1.3347</v>
      </c>
      <c r="AP541" s="20">
        <v>-0.75619999999999998</v>
      </c>
      <c r="AQ541" s="20">
        <v>-0.44469999999999998</v>
      </c>
      <c r="AR541" s="20">
        <v>-0.1132</v>
      </c>
      <c r="AS541" s="20">
        <v>-0.81359999999999999</v>
      </c>
      <c r="AT541" s="20">
        <v>-0.34150000000000003</v>
      </c>
      <c r="AU541" s="20">
        <v>-5.5199999999999999E-2</v>
      </c>
      <c r="AV541" s="20">
        <v>-0.97460000000000002</v>
      </c>
      <c r="AW541" s="6"/>
      <c r="AX541" s="18">
        <v>2.4999999999999999E-8</v>
      </c>
      <c r="AY541" s="18">
        <v>2.7650000000000001E-3</v>
      </c>
      <c r="AZ541" s="18">
        <v>5.1520000000000003E-2</v>
      </c>
      <c r="BA541" s="18">
        <v>0.62009999999999998</v>
      </c>
      <c r="BB541" s="18">
        <v>4.0640000000000001E-4</v>
      </c>
      <c r="BC541" s="18">
        <v>0.13800000000000001</v>
      </c>
      <c r="BD541" s="18">
        <v>0.80740000000000001</v>
      </c>
      <c r="BE541" s="18">
        <v>1.787E-5</v>
      </c>
      <c r="BF541" s="13"/>
      <c r="BG541" t="s">
        <v>1134</v>
      </c>
      <c r="BH541" t="s">
        <v>1112</v>
      </c>
      <c r="BI541" t="s">
        <v>1113</v>
      </c>
      <c r="BJ541" t="s">
        <v>1114</v>
      </c>
      <c r="BK541" t="s">
        <v>1115</v>
      </c>
      <c r="BL541" t="s">
        <v>1116</v>
      </c>
      <c r="BM541" t="s">
        <v>1194</v>
      </c>
      <c r="BN541" s="13"/>
      <c r="BO541" t="s">
        <v>973</v>
      </c>
      <c r="BP541" t="s">
        <v>973</v>
      </c>
      <c r="BQ541" t="s">
        <v>973</v>
      </c>
      <c r="BR541" t="s">
        <v>973</v>
      </c>
    </row>
    <row r="542" spans="1:70" x14ac:dyDescent="0.25">
      <c r="A542" s="1" t="s">
        <v>679</v>
      </c>
      <c r="B542" t="s">
        <v>680</v>
      </c>
      <c r="C542" t="s">
        <v>681</v>
      </c>
      <c r="D542" s="6"/>
      <c r="E542" s="9" t="str">
        <f>HYPERLINK("http://plants.ensembl.org/Triticum_aestivum/Gene/Summary?g=TRIAE_CS42_5BL_TGACv1_404578_AA1304830","TRIAE_CS42_5BL_TGACv1_404578_AA1304830")</f>
        <v>TRIAE_CS42_5BL_TGACv1_404578_AA1304830</v>
      </c>
      <c r="F542" s="9" t="str">
        <f>HYPERLINK("http://mar2016-plants.ensembl.org/Triticum_aestivum/Gene/Summary?db=core;g=Traes_5BL_3D522D8D2","Traes_5BL_3D522D8D2")</f>
        <v>Traes_5BL_3D522D8D2</v>
      </c>
      <c r="G542" t="s">
        <v>1019</v>
      </c>
      <c r="H542" s="8" t="str">
        <f>HYPERLINK("http://plants.ensembl.org/Brachypodium_distachyon/Gene/Summary?g=Bradi4g29530","Bradi4g29530")</f>
        <v>Bradi4g29530</v>
      </c>
      <c r="I542" s="8" t="str">
        <f>HYPERLINK("http://plants.ensembl.org/Arabidopsis_thaliana/Gene/Summary?g=AT3G28210","AT3G28210")</f>
        <v>AT3G28210</v>
      </c>
      <c r="J542" s="9" t="str">
        <f>HYPERLINK("http://plants.ensembl.org/Oryza_sativa/Gene/Summary?db=otherfeatures;g=LOC_Os09g21710","LOC_Os09g21710")</f>
        <v>LOC_Os09g21710</v>
      </c>
      <c r="K542" s="9" t="str">
        <f>HYPERLINK("http://plants.ensembl.org/Zea_mays/Gene/Summary?db=otherfeatures;g=GRMZM2G125775","GRMZM2G125775")</f>
        <v>GRMZM2G125775</v>
      </c>
      <c r="L542" s="6"/>
      <c r="M542">
        <v>1</v>
      </c>
      <c r="N542">
        <v>1</v>
      </c>
      <c r="O542">
        <v>1</v>
      </c>
      <c r="P542" t="s">
        <v>973</v>
      </c>
      <c r="S542" t="s">
        <v>973</v>
      </c>
      <c r="T542" s="6"/>
      <c r="U542" s="11">
        <v>7.5215135482629192</v>
      </c>
      <c r="V542" s="11">
        <v>9.1181251311848008</v>
      </c>
      <c r="W542" s="11">
        <v>5.4490209505495697</v>
      </c>
      <c r="X542" s="11">
        <v>6.2075675319924271</v>
      </c>
      <c r="Y542" s="11">
        <v>6.5366430200682428</v>
      </c>
      <c r="Z542" s="11">
        <v>6.388761839640102</v>
      </c>
      <c r="AA542" s="11">
        <v>5.9504334195057602</v>
      </c>
      <c r="AB542" s="11">
        <v>5.949825154767665</v>
      </c>
      <c r="AC542" s="11">
        <v>2.486182326720952</v>
      </c>
      <c r="AD542" s="11">
        <v>0.70327792398137323</v>
      </c>
      <c r="AE542" s="11">
        <v>1.6502131053135818</v>
      </c>
      <c r="AF542" s="11">
        <v>0.98484451074783097</v>
      </c>
      <c r="AG542" s="11">
        <v>1.5790191959274085</v>
      </c>
      <c r="AH542" s="11">
        <v>1.1537621086137253</v>
      </c>
      <c r="AI542" s="11">
        <v>2.2369925639801971</v>
      </c>
      <c r="AJ542" s="11">
        <v>1.6124783211243701</v>
      </c>
      <c r="AK542" s="6"/>
      <c r="AL542" t="s">
        <v>1077</v>
      </c>
      <c r="AM542" s="12">
        <v>4951</v>
      </c>
      <c r="AN542" s="6"/>
      <c r="AO542" s="20">
        <v>5.3148</v>
      </c>
      <c r="AP542" s="20">
        <v>8.5746000000000002</v>
      </c>
      <c r="AQ542" s="20">
        <v>4.1581000000000001</v>
      </c>
      <c r="AR542" s="20">
        <v>5.6186999999999996</v>
      </c>
      <c r="AS542" s="20">
        <v>5.3822999999999999</v>
      </c>
      <c r="AT542" s="20">
        <v>5.8047000000000004</v>
      </c>
      <c r="AU542" s="20">
        <v>3.8963999999999999</v>
      </c>
      <c r="AV542" s="20">
        <v>4.7061999999999999</v>
      </c>
      <c r="AW542" s="6"/>
      <c r="AX542" s="18">
        <v>3.7109999999999998E-12</v>
      </c>
      <c r="AY542" s="18">
        <v>6.9249999999999997E-18</v>
      </c>
      <c r="AZ542" s="18">
        <v>3.5170000000000001E-7</v>
      </c>
      <c r="BA542" s="18">
        <v>3.6510000000000001E-10</v>
      </c>
      <c r="BB542" s="18">
        <v>5.1649999999999999E-12</v>
      </c>
      <c r="BC542" s="18">
        <v>1.5419999999999999E-10</v>
      </c>
      <c r="BD542" s="18">
        <v>2.6940000000000002E-7</v>
      </c>
      <c r="BE542" s="18">
        <v>7.6419999999999999E-9</v>
      </c>
      <c r="BF542" s="13"/>
      <c r="BG542" t="s">
        <v>1191</v>
      </c>
      <c r="BH542" t="s">
        <v>1211</v>
      </c>
      <c r="BI542" t="s">
        <v>1113</v>
      </c>
      <c r="BJ542" t="s">
        <v>1114</v>
      </c>
      <c r="BK542" t="s">
        <v>1115</v>
      </c>
      <c r="BL542" t="s">
        <v>1116</v>
      </c>
      <c r="BM542" t="s">
        <v>1117</v>
      </c>
      <c r="BN542" s="13"/>
      <c r="BO542" t="s">
        <v>973</v>
      </c>
      <c r="BP542" t="s">
        <v>973</v>
      </c>
      <c r="BQ542" t="s">
        <v>973</v>
      </c>
      <c r="BR542" t="s">
        <v>973</v>
      </c>
    </row>
    <row r="543" spans="1:70" x14ac:dyDescent="0.25">
      <c r="A543" t="s">
        <v>731</v>
      </c>
      <c r="B543" t="s">
        <v>619</v>
      </c>
      <c r="C543" t="s">
        <v>620</v>
      </c>
      <c r="D543" s="6"/>
      <c r="E543" s="9" t="str">
        <f>HYPERLINK("http://plants.ensembl.org/Triticum_aestivum/Gene/Summary?g=TRIAE_CS42_1AL_TGACv1_000067_AA0002140","TRIAE_CS42_1AL_TGACv1_000067_AA0002140")</f>
        <v>TRIAE_CS42_1AL_TGACv1_000067_AA0002140</v>
      </c>
      <c r="F543" s="9" t="str">
        <f>HYPERLINK("http://mar2016-plants.ensembl.org/Triticum_aestivum/Gene/Summary?db=core;g=Traes_5DL_30E4778E1","Traes_5DL_30E4778E1")</f>
        <v>Traes_5DL_30E4778E1</v>
      </c>
      <c r="G543" t="s">
        <v>1019</v>
      </c>
      <c r="H543" s="8" t="str">
        <f>HYPERLINK("http://plants.ensembl.org/Brachypodium_distachyon/Gene/Summary?g=Bradi4g29530","Bradi4g29530")</f>
        <v>Bradi4g29530</v>
      </c>
      <c r="I543" s="8" t="str">
        <f>HYPERLINK("http://plants.ensembl.org/Arabidopsis_thaliana/Gene/Summary?g=AT3G28210","AT3G28210")</f>
        <v>AT3G28210</v>
      </c>
      <c r="J543" s="9" t="str">
        <f>HYPERLINK("http://plants.ensembl.org/Oryza_sativa/Gene/Summary?db=otherfeatures;g=LOC_Os09g21710","LOC_Os09g21710")</f>
        <v>LOC_Os09g21710</v>
      </c>
      <c r="K543" s="9" t="str">
        <f>HYPERLINK("http://plants.ensembl.org/Zea_mays/Gene/Summary?db=otherfeatures;g=GRMZM2G125775","GRMZM2G125775")</f>
        <v>GRMZM2G125775</v>
      </c>
      <c r="L543" s="6"/>
      <c r="M543">
        <v>1</v>
      </c>
      <c r="N543">
        <v>1</v>
      </c>
      <c r="O543">
        <v>1</v>
      </c>
      <c r="P543" t="s">
        <v>973</v>
      </c>
      <c r="S543" t="s">
        <v>973</v>
      </c>
      <c r="T543" s="6"/>
      <c r="U543" s="11">
        <v>6.9828616542548554</v>
      </c>
      <c r="V543" s="11">
        <v>8.8246473689923288</v>
      </c>
      <c r="W543" s="11">
        <v>4.4334157432505057</v>
      </c>
      <c r="X543" s="11">
        <v>5.6120339618228927</v>
      </c>
      <c r="Y543" s="11">
        <v>5.1834547541749423</v>
      </c>
      <c r="Z543" s="11">
        <v>5.6405939370164679</v>
      </c>
      <c r="AA543" s="11">
        <v>5.4060592755826047</v>
      </c>
      <c r="AB543" s="11">
        <v>5.2944124466724629</v>
      </c>
      <c r="AC543" s="11">
        <v>1.4790580622474543</v>
      </c>
      <c r="AD543" s="11">
        <v>0</v>
      </c>
      <c r="AE543" s="11">
        <v>1.0286870146240978</v>
      </c>
      <c r="AF543" s="11">
        <v>1.042037250616505</v>
      </c>
      <c r="AG543" s="11">
        <v>0.61324874380026617</v>
      </c>
      <c r="AH543" s="11">
        <v>0.71852602646226216</v>
      </c>
      <c r="AI543" s="11">
        <v>2.4580669708452541</v>
      </c>
      <c r="AJ543" s="11">
        <v>0.80837132044523463</v>
      </c>
      <c r="AK543" s="6"/>
      <c r="AL543" t="s">
        <v>1077</v>
      </c>
      <c r="AM543">
        <v>2927</v>
      </c>
      <c r="AN543" s="6"/>
      <c r="AO543" s="20">
        <v>6.0819000000000001</v>
      </c>
      <c r="AP543" s="20">
        <v>9.5091999999999999</v>
      </c>
      <c r="AQ543" s="20">
        <v>4.0492999999999997</v>
      </c>
      <c r="AR543" s="20">
        <v>5.0217999999999998</v>
      </c>
      <c r="AS543" s="20">
        <v>5.7134</v>
      </c>
      <c r="AT543" s="20">
        <v>5.8823999999999996</v>
      </c>
      <c r="AU543" s="20">
        <v>3.1057000000000001</v>
      </c>
      <c r="AV543" s="20">
        <v>5.3109000000000002</v>
      </c>
      <c r="AW543" s="6"/>
      <c r="AX543" s="18">
        <v>4.6369999999999997E-12</v>
      </c>
      <c r="AY543" s="18">
        <v>5.4290000000000001E-16</v>
      </c>
      <c r="AZ543" s="18">
        <v>1.2639999999999999E-5</v>
      </c>
      <c r="BA543" s="18">
        <v>2.7330000000000001E-8</v>
      </c>
      <c r="BB543" s="18">
        <v>3.236E-9</v>
      </c>
      <c r="BC543" s="18">
        <v>1.6359999999999999E-8</v>
      </c>
      <c r="BD543" s="18">
        <v>3.6489999999999998E-5</v>
      </c>
      <c r="BE543" s="18">
        <v>4.5370000000000002E-8</v>
      </c>
      <c r="BF543" s="13"/>
      <c r="BG543" t="s">
        <v>1191</v>
      </c>
      <c r="BH543" t="s">
        <v>1318</v>
      </c>
      <c r="BI543" t="s">
        <v>1113</v>
      </c>
      <c r="BJ543" t="s">
        <v>1127</v>
      </c>
      <c r="BK543" t="s">
        <v>1115</v>
      </c>
      <c r="BL543" t="s">
        <v>1116</v>
      </c>
      <c r="BM543" t="s">
        <v>1117</v>
      </c>
      <c r="BN543" s="13"/>
      <c r="BO543" t="s">
        <v>973</v>
      </c>
      <c r="BP543" t="s">
        <v>973</v>
      </c>
      <c r="BQ543" t="s">
        <v>973</v>
      </c>
      <c r="BR543" t="s">
        <v>973</v>
      </c>
    </row>
    <row r="544" spans="1:70" x14ac:dyDescent="0.25">
      <c r="A544" t="s">
        <v>917</v>
      </c>
      <c r="B544" t="s">
        <v>918</v>
      </c>
      <c r="C544" t="s">
        <v>919</v>
      </c>
      <c r="D544" s="6"/>
      <c r="E544" s="9" t="str">
        <f>HYPERLINK("http://plants.ensembl.org/Triticum_aestivum/Gene/Summary?g=TRIAE_CS42_7BL_TGACv1_577144_AA1867300","TRIAE_CS42_7BL_TGACv1_577144_AA1867300")</f>
        <v>TRIAE_CS42_7BL_TGACv1_577144_AA1867300</v>
      </c>
      <c r="F544" s="9" t="str">
        <f>HYPERLINK("http://mar2016-plants.ensembl.org/Triticum_aestivum/Gene/Summary?db=core;g=Traes_7BL_E2E7AA383","Traes_7BL_E2E7AA383")</f>
        <v>Traes_7BL_E2E7AA383</v>
      </c>
      <c r="G544" t="s">
        <v>1043</v>
      </c>
      <c r="H544" s="8" t="str">
        <f>HYPERLINK("http://plants.ensembl.org/Brachypodium_distachyon/Gene/Summary?g=Bradi1g36770","Bradi1g36770")</f>
        <v>Bradi1g36770</v>
      </c>
      <c r="I544" s="8" t="str">
        <f>HYPERLINK("http://plants.ensembl.org/Arabidopsis_thaliana/Gene/Summary?g=AT5G11270","AT5G11270")</f>
        <v>AT5G11270</v>
      </c>
      <c r="J544" s="9" t="str">
        <f>HYPERLINK("http://plants.ensembl.org/Oryza_sativa/Gene/Summary?db=otherfeatures;g=LOC_Os06g39906","LOC_Os06g39906")</f>
        <v>LOC_Os06g39906</v>
      </c>
      <c r="K544" s="9" t="str">
        <f>HYPERLINK("http://plants.ensembl.org/Zea_mays/Gene/Summary?db=otherfeatures;g=GRMZM2G163641","GRMZM2G163641")</f>
        <v>GRMZM2G163641</v>
      </c>
      <c r="L544" s="6"/>
      <c r="M544" t="s">
        <v>973</v>
      </c>
      <c r="N544">
        <v>1</v>
      </c>
      <c r="O544" t="s">
        <v>973</v>
      </c>
      <c r="P544" t="s">
        <v>973</v>
      </c>
      <c r="S544" t="s">
        <v>973</v>
      </c>
      <c r="T544" s="6"/>
      <c r="U544" s="11">
        <v>6.5202530336292241</v>
      </c>
      <c r="V544" s="11">
        <v>5.8145974188034844</v>
      </c>
      <c r="W544" s="11">
        <v>1.9906402762392923</v>
      </c>
      <c r="X544" s="11">
        <v>1.5711751971678296</v>
      </c>
      <c r="Y544" s="11">
        <v>2.3995812805375238</v>
      </c>
      <c r="Z544" s="11">
        <v>1.1421519971914891</v>
      </c>
      <c r="AA544" s="11">
        <v>7.2629401642125204</v>
      </c>
      <c r="AB544" s="11">
        <v>6.364728248952316</v>
      </c>
      <c r="AC544" s="11">
        <v>7.8980761074657009</v>
      </c>
      <c r="AD544" s="11">
        <v>7.5452098181441967</v>
      </c>
      <c r="AE544" s="11">
        <v>2.0335698332551373</v>
      </c>
      <c r="AF544" s="11">
        <v>2.6064106416875097</v>
      </c>
      <c r="AG544" s="11">
        <v>2.4012390692709573</v>
      </c>
      <c r="AH544" s="11">
        <v>4.9392986793292062</v>
      </c>
      <c r="AI544" s="11">
        <v>7.4329363083858677</v>
      </c>
      <c r="AJ544" s="11">
        <v>6.8516499438078373</v>
      </c>
      <c r="AK544" s="6"/>
      <c r="AL544" t="s">
        <v>1086</v>
      </c>
      <c r="AM544">
        <v>61</v>
      </c>
      <c r="AN544" s="6"/>
      <c r="AO544" s="20">
        <v>-1.3647</v>
      </c>
      <c r="AP544" s="20">
        <v>-1.7997000000000001</v>
      </c>
      <c r="AQ544" s="20">
        <v>-2.64E-2</v>
      </c>
      <c r="AR544" s="20">
        <v>-1.2572000000000001</v>
      </c>
      <c r="AS544" s="20">
        <v>-5.6500000000000002E-2</v>
      </c>
      <c r="AT544" s="20">
        <v>-4.4137000000000004</v>
      </c>
      <c r="AU544" s="20">
        <v>-0.16789999999999999</v>
      </c>
      <c r="AV544" s="20">
        <v>-0.48430000000000001</v>
      </c>
      <c r="AW544" s="6"/>
      <c r="AX544" s="18">
        <v>1.8089999999999998E-2</v>
      </c>
      <c r="AY544" s="18">
        <v>3.5430000000000001E-3</v>
      </c>
      <c r="AZ544" s="18">
        <v>0.97319999999999995</v>
      </c>
      <c r="BA544" s="18">
        <v>0.12180000000000001</v>
      </c>
      <c r="BB544" s="18">
        <v>0.93740000000000001</v>
      </c>
      <c r="BC544" s="18">
        <v>4.7320000000000003E-8</v>
      </c>
      <c r="BD544" s="18">
        <v>0.76639999999999997</v>
      </c>
      <c r="BE544" s="18">
        <v>0.3962</v>
      </c>
      <c r="BF544" s="13"/>
      <c r="BG544" t="s">
        <v>1128</v>
      </c>
      <c r="BH544" t="s">
        <v>1112</v>
      </c>
      <c r="BI544" t="s">
        <v>1343</v>
      </c>
      <c r="BJ544" t="s">
        <v>1114</v>
      </c>
      <c r="BK544" t="s">
        <v>1115</v>
      </c>
      <c r="BL544" t="s">
        <v>1218</v>
      </c>
      <c r="BM544" t="s">
        <v>1184</v>
      </c>
      <c r="BN544" s="13"/>
      <c r="BO544" t="s">
        <v>973</v>
      </c>
      <c r="BP544" t="s">
        <v>973</v>
      </c>
      <c r="BQ544" t="s">
        <v>973</v>
      </c>
      <c r="BR544" t="s">
        <v>973</v>
      </c>
    </row>
    <row r="545" spans="1:70" x14ac:dyDescent="0.25">
      <c r="A545" t="s">
        <v>950</v>
      </c>
      <c r="B545" t="s">
        <v>918</v>
      </c>
      <c r="C545" t="s">
        <v>919</v>
      </c>
      <c r="D545" s="6"/>
      <c r="E545" s="9" t="str">
        <f>HYPERLINK("http://plants.ensembl.org/Triticum_aestivum/Gene/Summary?g=TRIAE_CS42_7DL_TGACv1_605047_AA2004100","TRIAE_CS42_7DL_TGACv1_605047_AA2004100")</f>
        <v>TRIAE_CS42_7DL_TGACv1_605047_AA2004100</v>
      </c>
      <c r="F545" s="9" t="str">
        <f>HYPERLINK("http://mar2016-plants.ensembl.org/Triticum_aestivum/Gene/Summary?db=core;g=Traes_7DL_613F5240E","Traes_7DL_613F5240E")</f>
        <v>Traes_7DL_613F5240E</v>
      </c>
      <c r="G545" t="s">
        <v>1043</v>
      </c>
      <c r="H545" s="8" t="str">
        <f>HYPERLINK("http://plants.ensembl.org/Brachypodium_distachyon/Gene/Summary?g=Bradi1g36770","Bradi1g36770")</f>
        <v>Bradi1g36770</v>
      </c>
      <c r="I545" s="8" t="str">
        <f>HYPERLINK("http://plants.ensembl.org/Arabidopsis_thaliana/Gene/Summary?g=AT5G11270","AT5G11270")</f>
        <v>AT5G11270</v>
      </c>
      <c r="J545" s="9" t="str">
        <f>HYPERLINK("http://plants.ensembl.org/Oryza_sativa/Gene/Summary?db=otherfeatures;g=LOC_Os06g39906","LOC_Os06g39906")</f>
        <v>LOC_Os06g39906</v>
      </c>
      <c r="K545" s="9" t="str">
        <f>HYPERLINK("http://plants.ensembl.org/Zea_mays/Gene/Summary?db=otherfeatures;g=GRMZM2G163641","GRMZM2G163641")</f>
        <v>GRMZM2G163641</v>
      </c>
      <c r="L545" s="6"/>
      <c r="M545" t="s">
        <v>973</v>
      </c>
      <c r="N545">
        <v>1</v>
      </c>
      <c r="O545" t="s">
        <v>973</v>
      </c>
      <c r="P545" t="s">
        <v>973</v>
      </c>
      <c r="S545" t="s">
        <v>973</v>
      </c>
      <c r="T545" s="6"/>
      <c r="U545" s="11">
        <v>6.5993153138160059</v>
      </c>
      <c r="V545" s="11">
        <v>5.4677403040042458</v>
      </c>
      <c r="W545" s="11">
        <v>6.6538262692130026</v>
      </c>
      <c r="X545" s="11">
        <v>6.0672859155311443</v>
      </c>
      <c r="Y545" s="11">
        <v>6.7769286509586903</v>
      </c>
      <c r="Z545" s="11">
        <v>6.4138456565961839</v>
      </c>
      <c r="AA545" s="11">
        <v>7.0521611769808494</v>
      </c>
      <c r="AB545" s="11">
        <v>6.2227878201637745</v>
      </c>
      <c r="AC545" s="11">
        <v>7.7630937145180949</v>
      </c>
      <c r="AD545" s="11">
        <v>7.3406447504669687</v>
      </c>
      <c r="AE545" s="11">
        <v>7.1709452137905121</v>
      </c>
      <c r="AF545" s="11">
        <v>6.7164061095657557</v>
      </c>
      <c r="AG545" s="11">
        <v>7.3730826447658755</v>
      </c>
      <c r="AH545" s="11">
        <v>6.9456482768483072</v>
      </c>
      <c r="AI545" s="11">
        <v>7.2966969189172239</v>
      </c>
      <c r="AJ545" s="11">
        <v>6.8549523043321772</v>
      </c>
      <c r="AK545" s="6"/>
      <c r="AL545" t="s">
        <v>1079</v>
      </c>
      <c r="AM545">
        <v>0</v>
      </c>
      <c r="AN545" s="6"/>
      <c r="AO545" s="20">
        <v>-1.2444</v>
      </c>
      <c r="AP545" s="20">
        <v>-1.6927000000000001</v>
      </c>
      <c r="AQ545" s="20">
        <v>-0.52159999999999995</v>
      </c>
      <c r="AR545" s="20">
        <v>-0.65820000000000001</v>
      </c>
      <c r="AS545" s="20">
        <v>-0.59799999999999998</v>
      </c>
      <c r="AT545" s="20">
        <v>-0.53520000000000001</v>
      </c>
      <c r="AU545" s="20">
        <v>-0.24579999999999999</v>
      </c>
      <c r="AV545" s="20">
        <v>-0.6321</v>
      </c>
      <c r="AW545" s="6"/>
      <c r="AX545" s="18">
        <v>2.202E-10</v>
      </c>
      <c r="AY545" s="18">
        <v>2.1689999999999999E-9</v>
      </c>
      <c r="AZ545" s="18">
        <v>2.6020000000000001E-3</v>
      </c>
      <c r="BA545" s="18">
        <v>5.0949999999999997E-4</v>
      </c>
      <c r="BB545" s="18">
        <v>4.4480000000000002E-4</v>
      </c>
      <c r="BC545" s="18">
        <v>2.9260000000000002E-3</v>
      </c>
      <c r="BD545" s="18">
        <v>0.14030000000000001</v>
      </c>
      <c r="BE545" s="18">
        <v>6.6080000000000002E-4</v>
      </c>
      <c r="BF545" s="13"/>
      <c r="BG545" t="s">
        <v>1164</v>
      </c>
      <c r="BH545" t="s">
        <v>1112</v>
      </c>
      <c r="BI545" t="s">
        <v>1113</v>
      </c>
      <c r="BJ545" t="s">
        <v>1114</v>
      </c>
      <c r="BK545" t="s">
        <v>1115</v>
      </c>
      <c r="BL545" t="s">
        <v>1116</v>
      </c>
      <c r="BM545" t="s">
        <v>1117</v>
      </c>
      <c r="BN545" s="13"/>
      <c r="BO545" t="s">
        <v>973</v>
      </c>
      <c r="BP545" t="s">
        <v>973</v>
      </c>
      <c r="BQ545" t="s">
        <v>973</v>
      </c>
      <c r="BR545" t="s">
        <v>973</v>
      </c>
    </row>
    <row r="546" spans="1:70" x14ac:dyDescent="0.25">
      <c r="D546" s="6"/>
      <c r="L546" s="6"/>
      <c r="T546" s="6"/>
      <c r="AK546" s="6"/>
      <c r="AN546" s="6"/>
      <c r="AO546" s="15"/>
      <c r="AP546" s="15"/>
      <c r="AQ546" s="15"/>
      <c r="AR546" s="15"/>
      <c r="AS546" s="15"/>
      <c r="AT546" s="15"/>
      <c r="AU546" s="15"/>
      <c r="AV546" s="15"/>
      <c r="AW546" s="6"/>
      <c r="AX546" s="18"/>
      <c r="AY546" s="18"/>
      <c r="AZ546" s="18"/>
      <c r="BA546" s="18"/>
      <c r="BB546" s="18"/>
      <c r="BC546" s="18"/>
      <c r="BD546" s="18"/>
      <c r="BE546" s="18"/>
      <c r="BF546" s="13"/>
      <c r="BN546" s="13"/>
    </row>
    <row r="547" spans="1:70" x14ac:dyDescent="0.25">
      <c r="D547" s="6"/>
      <c r="L547" s="6"/>
      <c r="T547" s="6"/>
      <c r="AK547" s="6"/>
      <c r="AN547" s="6"/>
      <c r="AW547" s="6"/>
      <c r="BF547" s="13"/>
      <c r="BG547">
        <f t="shared" ref="BG547:BM547" si="1">COUNTIF(BG3:BG545,BG2)</f>
        <v>71</v>
      </c>
      <c r="BH547">
        <f t="shared" si="1"/>
        <v>108</v>
      </c>
      <c r="BI547">
        <f t="shared" si="1"/>
        <v>448</v>
      </c>
      <c r="BJ547">
        <f t="shared" si="1"/>
        <v>324</v>
      </c>
      <c r="BK547">
        <f t="shared" si="1"/>
        <v>448</v>
      </c>
      <c r="BL547">
        <f t="shared" si="1"/>
        <v>455</v>
      </c>
      <c r="BM547">
        <f t="shared" si="1"/>
        <v>498</v>
      </c>
      <c r="BN547" s="13"/>
    </row>
    <row r="548" spans="1:70" x14ac:dyDescent="0.25">
      <c r="D548" s="6"/>
      <c r="L548" s="6"/>
      <c r="T548" s="6"/>
      <c r="AK548" s="6"/>
      <c r="AN548" s="6"/>
      <c r="AW548" s="6"/>
      <c r="AX548" s="22"/>
      <c r="AY548" s="22"/>
      <c r="AZ548" s="22"/>
      <c r="BA548" s="22"/>
      <c r="BB548" s="22"/>
      <c r="BC548" s="22"/>
      <c r="BD548" s="22"/>
      <c r="BE548" s="22"/>
      <c r="BF548" s="13"/>
      <c r="BN548" s="13"/>
    </row>
    <row r="549" spans="1:70" x14ac:dyDescent="0.25">
      <c r="D549" s="6"/>
      <c r="L549" s="6"/>
      <c r="T549" s="6"/>
      <c r="AK549" s="6"/>
      <c r="AN549" s="6"/>
      <c r="AW549" s="6"/>
      <c r="BF549" s="13"/>
      <c r="BG549">
        <f>542-BG547</f>
        <v>471</v>
      </c>
      <c r="BH549">
        <f t="shared" ref="BH549:BM549" si="2">542-BH547</f>
        <v>434</v>
      </c>
      <c r="BI549">
        <f t="shared" si="2"/>
        <v>94</v>
      </c>
      <c r="BJ549">
        <f t="shared" si="2"/>
        <v>218</v>
      </c>
      <c r="BK549">
        <f t="shared" si="2"/>
        <v>94</v>
      </c>
      <c r="BL549">
        <f t="shared" si="2"/>
        <v>87</v>
      </c>
      <c r="BM549">
        <f t="shared" si="2"/>
        <v>44</v>
      </c>
      <c r="BN549" s="13"/>
    </row>
  </sheetData>
  <sortState ref="A4:HD545">
    <sortCondition ref="C4:C545"/>
    <sortCondition ref="A4:A545"/>
  </sortState>
  <mergeCells count="13">
    <mergeCell ref="E1:K1"/>
    <mergeCell ref="E2:F2"/>
    <mergeCell ref="M1:S1"/>
    <mergeCell ref="H2:K2"/>
    <mergeCell ref="BG1:BM1"/>
    <mergeCell ref="BO1:BQ1"/>
    <mergeCell ref="U2:AJ2"/>
    <mergeCell ref="AO2:AV2"/>
    <mergeCell ref="AX2:BE2"/>
    <mergeCell ref="AL1:AL3"/>
    <mergeCell ref="AM1:AM3"/>
    <mergeCell ref="AO1:AV1"/>
    <mergeCell ref="AX1:BE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PhytohormoneGenes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pany</dc:creator>
  <cp:lastModifiedBy>pany</cp:lastModifiedBy>
  <dcterms:created xsi:type="dcterms:W3CDTF">2017-08-09T20:12:59Z</dcterms:created>
  <dcterms:modified xsi:type="dcterms:W3CDTF">2018-04-12T21:45:56Z</dcterms:modified>
</cp:coreProperties>
</file>